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9hpzCBLwIYv/w7QLIck9nQ0tyOTtSizx9tbdy/ibXIQ70ZAqYhxsezTkgUOGz43orio8JVmOUAi0MYGnrAg3Hg==" workbookSaltValue="aLnLwhCuqs50RiHFwu4K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F16" i="8" s="1"/>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ES21" i="8"/>
  <c r="G20" i="12"/>
  <c r="AQ19" i="11"/>
  <c r="AK21" i="8"/>
  <c r="EP21" i="8"/>
  <c r="ER21" i="13"/>
  <c r="AL14" i="16"/>
  <c r="EP21" i="19"/>
  <c r="BH9" i="16"/>
  <c r="BL9" i="11"/>
  <c r="BH18" i="16"/>
  <c r="BH16" i="16"/>
  <c r="Q18" i="20"/>
  <c r="Q20" i="20" s="1"/>
  <c r="BF18" i="11"/>
  <c r="BK19" i="11"/>
  <c r="BK9" i="11"/>
  <c r="S14" i="16"/>
  <c r="P14" i="16"/>
  <c r="F18" i="17"/>
  <c r="AQ18" i="17" s="1"/>
  <c r="K20" i="2"/>
  <c r="M14" i="2"/>
  <c r="N14" i="2"/>
  <c r="F14" i="7"/>
  <c r="T14" i="12"/>
  <c r="S9" i="17"/>
  <c r="BM12" i="11"/>
  <c r="S9" i="14"/>
  <c r="V9" i="14" s="1"/>
  <c r="BI19" i="11"/>
  <c r="BJ12" i="11"/>
  <c r="BG16" i="11"/>
  <c r="AQ14" i="21"/>
  <c r="BG19" i="11"/>
  <c r="T18" i="16"/>
  <c r="BU16" i="17"/>
  <c r="BW9" i="20"/>
  <c r="BW13" i="20"/>
  <c r="BW17" i="20"/>
  <c r="U13" i="17"/>
  <c r="U10" i="17"/>
  <c r="BU18" i="17"/>
  <c r="V12" i="16"/>
  <c r="BU17" i="17"/>
  <c r="BV9" i="16"/>
  <c r="T14" i="16"/>
  <c r="AA16" i="16"/>
  <c r="S11" i="14"/>
  <c r="V11" i="14" s="1"/>
  <c r="T17" i="11"/>
  <c r="BG12" i="11"/>
  <c r="Q18" i="17"/>
  <c r="BH10" i="11"/>
  <c r="BI9" i="11"/>
  <c r="AQ10" i="21"/>
  <c r="S10" i="17"/>
  <c r="BH10" i="16"/>
  <c r="Q16" i="17"/>
  <c r="BM18" i="11"/>
  <c r="BF16" i="11"/>
  <c r="BH17" i="11"/>
  <c r="AQ12" i="21"/>
  <c r="BJ17" i="11"/>
  <c r="BL17" i="11"/>
  <c r="BG16"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AF22" i="20"/>
  <c r="U18" i="11"/>
  <c r="AL22" i="20"/>
  <c r="AG22" i="20"/>
  <c r="M22" i="20"/>
  <c r="W22" i="21"/>
  <c r="AE22" i="20"/>
  <c r="L22" i="20"/>
  <c r="N22" i="20"/>
  <c r="AY20" i="8" l="1"/>
  <c r="AE21" i="8"/>
  <c r="AW20" i="21"/>
  <c r="K16" i="7"/>
  <c r="Z14" i="17"/>
  <c r="H12" i="2"/>
  <c r="R21" i="8"/>
  <c r="AY14" i="8"/>
  <c r="F13" i="2"/>
  <c r="M20" i="2"/>
  <c r="N20" i="2"/>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7" i="14"/>
  <c r="V17" i="14" s="1"/>
  <c r="R11" i="14"/>
  <c r="S19" i="14"/>
  <c r="V19"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<sst xmlns="http://schemas.openxmlformats.org/spreadsheetml/2006/main" count="2201" uniqueCount="970">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</sst>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966</v>
      </c>
      <c r="C10" s="382"/>
      <c r="D10" s="382"/>
      <c r="E10" s="391"/>
      <c r="F10" s="3"/>
      <c r="Q10" s="356">
        <v>0</v>
      </c>
    </row>
    <row r="11" spans="1:19" ht="13.5" thickBot="1">
      <c r="A11" s="392" t="s">
        <v>968</v>
      </c>
      <c r="B11" s="393" t="s">
        <v>969</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EsaRzAmcGbopd05fyzfQMCKjbU/uleWGxJaKeSmHXyFSuplrwaNTsUjG9oWfWdIxx/IfL7KPHtxHTAv/Wl0KA==" saltValue="xaiMozTNmN+Q8Znk8tp+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34.968777484608616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125</v>
      </c>
      <c r="D10" s="230">
        <f>IF(ISNUMBER(Datos!I10),Datos!I10," - ")</f>
        <v>125</v>
      </c>
      <c r="E10" s="231">
        <f>IF(ISNUMBER(Datos!J10),Datos!J10," - ")</f>
        <v>40</v>
      </c>
      <c r="F10" s="231">
        <f>IF(ISNUMBER(Datos!K10),Datos!K10," - ")</f>
        <v>33</v>
      </c>
      <c r="G10" s="1193" t="str">
        <f>IF(Datos!E10&lt;&gt;"",Datos!E10,Datos!D10)</f>
        <v>37</v>
      </c>
      <c r="H10" s="232">
        <f>IF(ISNUMBER(Datos!L10),Datos!L10," - ")</f>
        <v>132</v>
      </c>
      <c r="I10" s="1203" t="str">
        <f>IF(ISNUMBER(Datos!AS10/Datos!BM10),Datos!AS10/Datos!BM10," - ")</f>
        <v xml:space="preserve"> - </v>
      </c>
      <c r="J10" s="1204">
        <f>IF(ISNUMBER(Datos!BY10/Datos!CN10),Datos!BY10/Datos!CN10," - ")</f>
        <v>0</v>
      </c>
      <c r="K10" s="235">
        <f t="shared" ref="K10:K13" si="1">IF(ISNUMBER((E10-F10)/C10),(E10-F10)/C10," - ")</f>
        <v>5.6000000000000001E-2</v>
      </c>
      <c r="L10" s="1205">
        <f>IF(ISNUMBER(NºAsuntos!I10/NºAsuntos!G10),(NºAsuntos!I10/NºAsuntos!G10)*11," - ")</f>
        <v>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0</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125</v>
      </c>
      <c r="D14" s="1210">
        <f>SUBTOTAL(9,D9:D13)</f>
        <v>125</v>
      </c>
      <c r="E14" s="1211">
        <f>SUBTOTAL(9,E9:E13)</f>
        <v>40</v>
      </c>
      <c r="F14" s="1212">
        <f>SUBTOTAL(9,F9:F13)</f>
        <v>33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1119</v>
      </c>
      <c r="D16" s="230">
        <f>IF(ISNUMBER(IF(D_I="SI",Datos!I16,Datos!I16+Datos!AC16)),IF(D_I="SI",Datos!I16,Datos!I16+Datos!AC16)," - ")</f>
        <v>1044</v>
      </c>
      <c r="E16" s="231">
        <f>IF(ISNUMBER(IF(D_I="SI",Datos!J16,Datos!J16+Datos!AD16)),IF(D_I="SI",Datos!J16,Datos!J16+Datos!AD16)," - ")</f>
        <v>2053</v>
      </c>
      <c r="F16" s="231">
        <f>IF(ISNUMBER(IF(D_I="SI",Datos!K16,Datos!K16+Datos!AE16)),IF(D_I="SI",Datos!K16,Datos!K16+Datos!AE16)," - ")</f>
        <v>2046</v>
      </c>
      <c r="G16" s="1193" t="str">
        <f>IF(Datos!E16&lt;&gt;"",Datos!E16,Datos!D16)</f>
        <v>03</v>
      </c>
      <c r="H16" s="232">
        <f>IF(ISNUMBER(IF(D_I="SI",Datos!L16,Datos!L16+Datos!AF16)),IF(D_I="SI",Datos!L16,Datos!L16+Datos!AF16)," - ")</f>
        <v>1126</v>
      </c>
      <c r="I16" s="1203" t="str">
        <f>IF(ISNUMBER(Datos!AS16/Datos!BM16),Datos!AS16/Datos!BM16," - ")</f>
        <v xml:space="preserve"> - </v>
      </c>
      <c r="J16" s="1204">
        <f>IF(ISNUMBER(Datos!BY16/Datos!CN16),Datos!BY16/Datos!CN16," - ")</f>
        <v>0</v>
      </c>
      <c r="K16" s="235">
        <f t="shared" ref="K16:K19" si="3">IF(ISNUMBER((E16-F16)/C16),(E16-F16)/C16," - ")</f>
        <v>6.2555853440571943E-3</v>
      </c>
      <c r="L16" s="1205">
        <f>IF(ISNUMBER(NºAsuntos!I16/NºAsuntos!G16),(NºAsuntos!I16/NºAsuntos!G16)*11," - ")</f>
        <v>6.0537634408602141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8</v>
      </c>
      <c r="D17" s="230">
        <f>IF(ISNUMBER(IF(D_I="SI",Datos!I17,Datos!I17+Datos!AC17)),IF(D_I="SI",Datos!I17,Datos!I17+Datos!AC17)," - ")</f>
        <v>8</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8</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250</v>
      </c>
      <c r="D18" s="230">
        <f>IF(ISNUMBER(IF(D_I="SI",Datos!I18,Datos!I18+Datos!AC18)),IF(D_I="SI",Datos!I18,Datos!I18+Datos!AC18)," - ")</f>
        <v>247</v>
      </c>
      <c r="E18" s="231">
        <f>IF(ISNUMBER(IF(D_I="SI",Datos!J18,Datos!J18+Datos!AD18)),IF(D_I="SI",Datos!J18,Datos!J18+Datos!AD18)," - ")</f>
        <v>302</v>
      </c>
      <c r="F18" s="231">
        <f>IF(ISNUMBER(IF(D_I="SI",Datos!K18,Datos!K18+Datos!AE18)),IF(D_I="SI",Datos!K18,Datos!K18+Datos!AE18)," - ")</f>
        <v>357</v>
      </c>
      <c r="G18" s="1193" t="str">
        <f>IF(Datos!E18&lt;&gt;"",Datos!E18,Datos!D18)</f>
        <v>37</v>
      </c>
      <c r="H18" s="232">
        <f>IF(ISNUMBER(IF(D_I="SI",Datos!L18,Datos!L18+Datos!AF18)),IF(D_I="SI",Datos!L18,Datos!L18+Datos!AF18)," - ")</f>
        <v>195</v>
      </c>
      <c r="I18" s="1203" t="str">
        <f>IF(ISNUMBER(Datos!AS18/Datos!BM18),Datos!AS18/Datos!BM18," - ")</f>
        <v xml:space="preserve"> - </v>
      </c>
      <c r="J18" s="1204" t="str">
        <f>IF(ISNUMBER((Datos!BY18+Datos!BZ18)/Datos!CN18),(Datos!BY18+Datos!BZ18)/Datos!CN18," - ")</f>
        <v xml:space="preserve"> - </v>
      </c>
      <c r="K18" s="235">
        <f t="shared" si="3"/>
        <v>-0.22</v>
      </c>
      <c r="L18" s="1205">
        <f>IF(ISNUMBER(NºAsuntos!I18/NºAsuntos!G18),(NºAsuntos!I18/NºAsuntos!G18)*11," - ")</f>
        <v>6.0084033613445369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1377</v>
      </c>
      <c r="D20" s="1210">
        <f>SUBTOTAL(9,D16:D19)</f>
        <v>1299</v>
      </c>
      <c r="E20" s="1211">
        <f>SUBTOTAL(9,E16:E19)</f>
        <v>2355</v>
      </c>
      <c r="F20" s="1211">
        <f>SUBTOTAL(9,F16:F19)</f>
        <v>2403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1502</v>
      </c>
      <c r="D21" s="1232">
        <f>SUBTOTAL(9,D9:D20)</f>
        <v>1424</v>
      </c>
      <c r="E21" s="1233">
        <f>SUBTOTAL(9,E9:E20)</f>
        <v>2395</v>
      </c>
      <c r="F21" s="1233">
        <f>SUBTOTAL(9,F9:F20)</f>
        <v>2436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UYnxok+daCB1MNRmzTT+L0f5KzIgzZamRthbS6YQAUatlHhwM1ta1ec9aw2KOSP+pALUcADJsnF80wb0GO4grA==" saltValue="qvafemcI684nnjZL8/ub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pTRQS8VCqjSCD118nJZ/+MbHYaOEkvIGzCiwsCJ5YktVvpIoMQnIuTcW5dGi1+bSy2y1mqALgj9tpYAc78DlA==" saltValue="zJHKWfay5Rb3t2aBIw1O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6329</v>
      </c>
      <c r="J9" s="186">
        <v>2644</v>
      </c>
      <c r="K9" s="186">
        <v>2016</v>
      </c>
      <c r="L9" s="186">
        <v>6969</v>
      </c>
      <c r="M9" s="186">
        <v>330</v>
      </c>
      <c r="N9" s="186">
        <v>1418</v>
      </c>
      <c r="O9" s="186">
        <v>659</v>
      </c>
      <c r="P9" s="186">
        <v>505</v>
      </c>
      <c r="Q9" s="186">
        <v>297</v>
      </c>
      <c r="R9" s="186">
        <v>7122</v>
      </c>
      <c r="S9" s="186">
        <v>4191</v>
      </c>
      <c r="T9" s="186">
        <v>2620</v>
      </c>
      <c r="U9" s="186">
        <v>2984</v>
      </c>
      <c r="V9" s="186">
        <v>4456</v>
      </c>
      <c r="W9" s="186">
        <v>528</v>
      </c>
      <c r="X9" s="193">
        <v>1840</v>
      </c>
      <c r="Y9" s="196">
        <v>268</v>
      </c>
      <c r="Z9" s="186">
        <v>250</v>
      </c>
      <c r="AA9" s="186">
        <v>258</v>
      </c>
      <c r="AB9" s="186">
        <v>260</v>
      </c>
      <c r="AC9" s="186">
        <v>0</v>
      </c>
      <c r="AD9" s="186">
        <v>0</v>
      </c>
      <c r="AE9" s="186">
        <v>0</v>
      </c>
      <c r="AF9" s="193">
        <v>0</v>
      </c>
      <c r="AG9" s="196">
        <v>161</v>
      </c>
      <c r="AH9" s="186">
        <v>232</v>
      </c>
      <c r="AI9" s="186">
        <v>237</v>
      </c>
      <c r="AJ9" s="197">
        <v>156</v>
      </c>
      <c r="AK9" s="185">
        <v>0</v>
      </c>
      <c r="AL9" s="186">
        <v>0</v>
      </c>
      <c r="AM9" s="186">
        <v>0</v>
      </c>
      <c r="AN9" s="193">
        <v>0</v>
      </c>
      <c r="AO9" s="263">
        <v>6</v>
      </c>
      <c r="AP9" s="159">
        <v>6</v>
      </c>
      <c r="AQ9" s="159">
        <v>6</v>
      </c>
      <c r="AR9" s="198">
        <v>6</v>
      </c>
      <c r="AS9" s="348" t="s">
        <v>863</v>
      </c>
      <c r="AT9" s="200"/>
      <c r="AU9" s="199"/>
      <c r="AV9" s="200"/>
      <c r="AW9" s="199"/>
      <c r="AX9" s="200"/>
      <c r="AY9" s="125">
        <f>IF(ISNUMBER(IF(J_V="SI",S9,S9+AG9)),IF(J_V="SI",S9,S9+AG9)," - ")</f>
        <v>4352</v>
      </c>
      <c r="AZ9" s="125">
        <f>IF(ISNUMBER(IF(J_V="SI",T9,T9+AH9)),IF(J_V="SI",T9,T9+AH9)," - ")</f>
        <v>2852</v>
      </c>
      <c r="BA9" s="126">
        <f>IF(ISNUMBER(IF(J_V="SI",U9,U9+AI9)),IF(J_V="SI",U9,U9+AI9)," - ")</f>
        <v>3221</v>
      </c>
      <c r="BB9" s="126">
        <f>IF(ISNUMBER(IF(J_V="SI",V9,V9+AJ9)),IF(J_V="SI",V9,V9+AJ9)," - ")</f>
        <v>4612</v>
      </c>
      <c r="BC9" s="127">
        <f>IF(ISNUMBER(X9),X9," - ")</f>
        <v>1840</v>
      </c>
      <c r="BD9" s="128">
        <f>IF(ISNUMBER(BA9/AZ9),BA9/AZ9," - ")</f>
        <v>1.1293828892005611</v>
      </c>
      <c r="BE9" s="129">
        <f>IF(ISNUMBER(BB9/BA9),BB9/BA9, " - ")</f>
        <v>1.4318534616578702</v>
      </c>
      <c r="BF9" s="129">
        <f>IF(ISNUMBER(BC9/BA9),BC9/BA9, " - ")</f>
        <v>0.57125116423470967</v>
      </c>
      <c r="BG9" s="201">
        <f>IF(ISNUMBER((AY9+AZ9)/BA9),(AY9+AZ9)/BA9," - ")</f>
        <v>2.2365724930145916</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125</v>
      </c>
      <c r="J10" s="186">
        <v>40</v>
      </c>
      <c r="K10" s="186">
        <v>33</v>
      </c>
      <c r="L10" s="186">
        <v>132</v>
      </c>
      <c r="M10" s="186">
        <v>5</v>
      </c>
      <c r="N10" s="186">
        <v>24</v>
      </c>
      <c r="O10" s="186">
        <v>2</v>
      </c>
      <c r="P10" s="186">
        <v>4</v>
      </c>
      <c r="Q10" s="186">
        <v>4</v>
      </c>
      <c r="R10" s="186">
        <v>76</v>
      </c>
      <c r="S10" s="186">
        <v>111</v>
      </c>
      <c r="T10" s="186">
        <v>54</v>
      </c>
      <c r="U10" s="186">
        <v>38</v>
      </c>
      <c r="V10" s="186">
        <v>127</v>
      </c>
      <c r="W10" s="186">
        <v>11</v>
      </c>
      <c r="X10" s="193">
        <v>21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111</v>
      </c>
      <c r="AZ10" s="131">
        <f t="shared" si="0"/>
        <v>54</v>
      </c>
      <c r="BA10" s="131">
        <f t="shared" si="0"/>
        <v>38</v>
      </c>
      <c r="BB10" s="131">
        <f t="shared" si="0"/>
        <v>127</v>
      </c>
      <c r="BC10" s="127">
        <f t="shared" si="0"/>
        <v>11</v>
      </c>
      <c r="BD10" s="128">
        <f>IF(ISNUMBER(BA10/AZ10),BA10/AZ10," - ")</f>
        <v>0.70370370370370372</v>
      </c>
      <c r="BE10" s="129">
        <f>IF(ISNUMBER(BB10/BA10),BB10/BA10, " - ")</f>
        <v>3.3421052631578947</v>
      </c>
      <c r="BF10" s="129">
        <f>IF(ISNUMBER(BC10/BA10),BC10/BA10, " - ")</f>
        <v>0.28947368421052633</v>
      </c>
      <c r="BG10" s="201">
        <f>IF(ISNUMBER((AY10+AZ10)/BA10),(AY10+AZ10)/BA10," - ")</f>
        <v>4.3421052631578947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0</v>
      </c>
      <c r="J12" s="188">
        <v>1</v>
      </c>
      <c r="K12" s="188">
        <v>1</v>
      </c>
      <c r="L12" s="188">
        <v>0</v>
      </c>
      <c r="M12" s="188">
        <v>0</v>
      </c>
      <c r="N12" s="188">
        <v>2</v>
      </c>
      <c r="O12" s="186">
        <v>3</v>
      </c>
      <c r="P12" s="188">
        <v>0</v>
      </c>
      <c r="Q12" s="188">
        <v>17</v>
      </c>
      <c r="R12" s="188">
        <v>444</v>
      </c>
      <c r="S12" s="188">
        <v>2</v>
      </c>
      <c r="T12" s="188">
        <v>0</v>
      </c>
      <c r="U12" s="188">
        <v>2</v>
      </c>
      <c r="V12" s="188">
        <v>0</v>
      </c>
      <c r="W12" s="188">
        <v>0</v>
      </c>
      <c r="X12" s="194">
        <v>1</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866</v>
      </c>
      <c r="AT12" s="208"/>
      <c r="AU12" s="207"/>
      <c r="AV12" s="208"/>
      <c r="AW12" s="207"/>
      <c r="AX12" s="208"/>
      <c r="AY12" s="128">
        <f t="shared" si="1"/>
        <v>2</v>
      </c>
      <c r="AZ12" s="129">
        <f t="shared" si="1"/>
        <v>0</v>
      </c>
      <c r="BA12" s="129">
        <f t="shared" si="1"/>
        <v>2</v>
      </c>
      <c r="BB12" s="129">
        <f t="shared" si="1"/>
        <v>0</v>
      </c>
      <c r="BC12" s="127">
        <f>IF(ISNUMBER(X12),X12," - ")</f>
        <v>1</v>
      </c>
      <c r="BD12" s="128" t="str">
        <f t="shared" si="2"/>
        <v xml:space="preserve"> - </v>
      </c>
      <c r="BE12" s="129">
        <f t="shared" si="3"/>
        <v>0</v>
      </c>
      <c r="BF12" s="129">
        <f t="shared" si="4"/>
        <v>0.5</v>
      </c>
      <c r="BG12" s="201">
        <f t="shared" si="5"/>
        <v>1</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6454</v>
      </c>
      <c r="J14" s="189">
        <f t="shared" si="7"/>
        <v>2685</v>
      </c>
      <c r="K14" s="189">
        <f t="shared" si="7"/>
        <v>2050</v>
      </c>
      <c r="L14" s="189">
        <f t="shared" si="7"/>
        <v>7101</v>
      </c>
      <c r="M14" s="189">
        <f t="shared" si="7"/>
        <v>335</v>
      </c>
      <c r="N14" s="189">
        <f t="shared" si="7"/>
        <v>1444</v>
      </c>
      <c r="O14" s="189">
        <f t="shared" si="7"/>
        <v>664</v>
      </c>
      <c r="P14" s="189">
        <f t="shared" si="7"/>
        <v>509</v>
      </c>
      <c r="Q14" s="189">
        <f t="shared" si="7"/>
        <v>318</v>
      </c>
      <c r="R14" s="189">
        <f t="shared" si="7"/>
        <v>7642</v>
      </c>
      <c r="S14" s="189">
        <f t="shared" si="7"/>
        <v>4304</v>
      </c>
      <c r="T14" s="189">
        <f t="shared" si="7"/>
        <v>2674</v>
      </c>
      <c r="U14" s="189">
        <f t="shared" si="7"/>
        <v>3024</v>
      </c>
      <c r="V14" s="189">
        <f t="shared" si="7"/>
        <v>4583</v>
      </c>
      <c r="W14" s="189">
        <f t="shared" si="7"/>
        <v>539</v>
      </c>
      <c r="X14" s="189">
        <f t="shared" si="7"/>
        <v>1862</v>
      </c>
      <c r="Y14" s="189">
        <f t="shared" si="7"/>
        <v>268</v>
      </c>
      <c r="Z14" s="189">
        <f t="shared" si="7"/>
        <v>250</v>
      </c>
      <c r="AA14" s="189">
        <f t="shared" si="7"/>
        <v>258</v>
      </c>
      <c r="AB14" s="189">
        <f t="shared" si="7"/>
        <v>260</v>
      </c>
      <c r="AC14" s="189">
        <f t="shared" si="7"/>
        <v>0</v>
      </c>
      <c r="AD14" s="189">
        <f t="shared" si="7"/>
        <v>0</v>
      </c>
      <c r="AE14" s="189">
        <f t="shared" si="7"/>
        <v>0</v>
      </c>
      <c r="AF14" s="189">
        <f>SUBTOTAL(9,AF9:AF13)</f>
        <v>0</v>
      </c>
      <c r="AG14" s="189">
        <f t="shared" ref="AG14:AT14" si="8">SUBTOTAL(9,AG8:AG13)</f>
        <v>161</v>
      </c>
      <c r="AH14" s="189">
        <f t="shared" si="8"/>
        <v>232</v>
      </c>
      <c r="AI14" s="189">
        <f t="shared" si="8"/>
        <v>237</v>
      </c>
      <c r="AJ14" s="189">
        <f t="shared" si="8"/>
        <v>156</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4465</v>
      </c>
      <c r="AZ14" s="189">
        <f>SUBTOTAL(9,AZ8:AZ13)</f>
        <v>2906</v>
      </c>
      <c r="BA14" s="189">
        <f>SUBTOTAL(9,BA8:BA13)</f>
        <v>3261</v>
      </c>
      <c r="BB14" s="189">
        <f>SUBTOTAL(9,BB8:BB13)</f>
        <v>4739</v>
      </c>
      <c r="BC14" s="189">
        <f>SUBTOTAL(9,BC8:BC13)</f>
        <v>1852</v>
      </c>
      <c r="BD14" s="210">
        <f>IF(ISNUMBER(BA14/AZ14),BA14/AZ14," - ")</f>
        <v>1.1221610461114935</v>
      </c>
      <c r="BE14" s="211">
        <f>IF(ISNUMBER(BB14/BA14),BB14/BA14, " - ")</f>
        <v>1.4532352039251764</v>
      </c>
      <c r="BF14" s="211">
        <f>IF(ISNUMBER(BC14/BA14),BC14/BA14, " - ")</f>
        <v>0.56792394970867832</v>
      </c>
      <c r="BG14" s="212">
        <f>IF(ISNUMBER((AY14+AZ14)/BA14),(AY14+AZ14)/BA14," - ")</f>
        <v>2.2603495860165594</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1044</v>
      </c>
      <c r="J16" s="188">
        <v>2053</v>
      </c>
      <c r="K16" s="188">
        <v>2046</v>
      </c>
      <c r="L16" s="188">
        <v>1126</v>
      </c>
      <c r="M16" s="188">
        <v>228</v>
      </c>
      <c r="N16" s="188">
        <v>1234</v>
      </c>
      <c r="O16" s="186">
        <v>18</v>
      </c>
      <c r="P16" s="188">
        <v>80</v>
      </c>
      <c r="Q16" s="188">
        <v>33</v>
      </c>
      <c r="R16" s="188">
        <v>428</v>
      </c>
      <c r="S16" s="188">
        <v>1037</v>
      </c>
      <c r="T16" s="188">
        <v>1976</v>
      </c>
      <c r="U16" s="188">
        <v>2178</v>
      </c>
      <c r="V16" s="188">
        <v>878</v>
      </c>
      <c r="W16" s="188">
        <v>280</v>
      </c>
      <c r="X16" s="194">
        <v>1286</v>
      </c>
      <c r="Y16" s="207">
        <v>0</v>
      </c>
      <c r="Z16" s="188">
        <v>0</v>
      </c>
      <c r="AA16" s="188">
        <v>0</v>
      </c>
      <c r="AB16" s="188">
        <v>0</v>
      </c>
      <c r="AC16" s="188">
        <v>0</v>
      </c>
      <c r="AD16" s="188">
        <v>51</v>
      </c>
      <c r="AE16" s="188">
        <v>51</v>
      </c>
      <c r="AF16" s="194">
        <v>0</v>
      </c>
      <c r="AG16" s="207">
        <v>0</v>
      </c>
      <c r="AH16" s="188">
        <v>0</v>
      </c>
      <c r="AI16" s="188">
        <v>0</v>
      </c>
      <c r="AJ16" s="208">
        <v>0</v>
      </c>
      <c r="AK16" s="187">
        <v>0</v>
      </c>
      <c r="AL16" s="188">
        <v>23</v>
      </c>
      <c r="AM16" s="188">
        <v>23</v>
      </c>
      <c r="AN16" s="194">
        <v>0</v>
      </c>
      <c r="AO16" s="264">
        <v>4</v>
      </c>
      <c r="AP16" s="160">
        <v>4</v>
      </c>
      <c r="AQ16" s="160">
        <v>4</v>
      </c>
      <c r="AR16" s="160">
        <v>4</v>
      </c>
      <c r="AS16" s="350" t="s">
        <v>580</v>
      </c>
      <c r="AT16" s="208" t="s">
        <v>360</v>
      </c>
      <c r="AU16" s="207"/>
      <c r="AV16" s="208"/>
      <c r="AW16" s="207"/>
      <c r="AX16" s="208"/>
      <c r="AY16" s="130">
        <f t="shared" ref="AY16:BB17" si="10">IF(ISNUMBER(IF(D_I="SI",S16,S16+AK16)),IF(D_I="SI",S16,S16+AK16)," - ")</f>
        <v>1037</v>
      </c>
      <c r="AZ16" s="131">
        <f t="shared" si="10"/>
        <v>1976</v>
      </c>
      <c r="BA16" s="131">
        <f t="shared" si="10"/>
        <v>2178</v>
      </c>
      <c r="BB16" s="131">
        <f t="shared" si="10"/>
        <v>878</v>
      </c>
      <c r="BC16" s="127">
        <f>IF(ISNUMBER(W16),W16," - ")</f>
        <v>280</v>
      </c>
      <c r="BD16" s="128">
        <f>IF(ISNUMBER(BA16/AZ16),BA16/AZ16," - ")</f>
        <v>1.1022267206477734</v>
      </c>
      <c r="BE16" s="129">
        <f>IF(ISNUMBER(BB16/BA16),BB16/BA16, " - ")</f>
        <v>0.40312213039485767</v>
      </c>
      <c r="BF16" s="129">
        <f>IF(ISNUMBER(BC16/BA16),BC16/BA16, " - ")</f>
        <v>0.12855831037649221</v>
      </c>
      <c r="BG16" s="201">
        <f t="shared" ref="BG16:BG19" si="11">IF(ISNUMBER((AY16+AZ16)/BA16),(AY16+AZ16)/BA16," - ")</f>
        <v>1.3833792470156105</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v>
      </c>
      <c r="J17" s="188">
        <v>0</v>
      </c>
      <c r="K17" s="188">
        <v>0</v>
      </c>
      <c r="L17" s="188">
        <v>8</v>
      </c>
      <c r="M17" s="188">
        <v>0</v>
      </c>
      <c r="N17" s="188">
        <v>0</v>
      </c>
      <c r="O17" s="186">
        <v>0</v>
      </c>
      <c r="P17" s="188">
        <v>0</v>
      </c>
      <c r="Q17" s="188">
        <v>0</v>
      </c>
      <c r="R17" s="188">
        <v>0</v>
      </c>
      <c r="S17" s="188">
        <v>10</v>
      </c>
      <c r="T17" s="188">
        <v>0</v>
      </c>
      <c r="U17" s="188">
        <v>1</v>
      </c>
      <c r="V17" s="188">
        <v>9</v>
      </c>
      <c r="W17" s="188">
        <v>0</v>
      </c>
      <c r="X17" s="194">
        <v>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10</v>
      </c>
      <c r="AZ17" s="129">
        <f t="shared" si="10"/>
        <v>0</v>
      </c>
      <c r="BA17" s="129">
        <f t="shared" si="10"/>
        <v>1</v>
      </c>
      <c r="BB17" s="129">
        <f t="shared" si="10"/>
        <v>9</v>
      </c>
      <c r="BC17" s="127">
        <f>IF(ISNUMBER(W17),W17," - ")</f>
        <v>0</v>
      </c>
      <c r="BD17" s="128" t="str">
        <f t="shared" ref="BD17:BD19" si="12">IF(ISNUMBER(BA17/AZ17),BA17/AZ17," - ")</f>
        <v xml:space="preserve"> - </v>
      </c>
      <c r="BE17" s="129">
        <f t="shared" ref="BE17:BE19" si="13">IF(ISNUMBER(BB17/BA17),BB17/BA17, " - ")</f>
        <v>9</v>
      </c>
      <c r="BF17" s="129">
        <f t="shared" ref="BF17:BF19" si="14">IF(ISNUMBER(BC17/BA17),BC17/BA17, " - ")</f>
        <v>0</v>
      </c>
      <c r="BG17" s="201">
        <f t="shared" si="11"/>
        <v>10</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247</v>
      </c>
      <c r="J18" s="188">
        <v>302</v>
      </c>
      <c r="K18" s="188">
        <v>357</v>
      </c>
      <c r="L18" s="188">
        <v>195</v>
      </c>
      <c r="M18" s="188">
        <v>21</v>
      </c>
      <c r="N18" s="188">
        <v>202</v>
      </c>
      <c r="O18" s="188">
        <v>0</v>
      </c>
      <c r="P18" s="188">
        <v>1</v>
      </c>
      <c r="Q18" s="188">
        <v>2</v>
      </c>
      <c r="R18" s="188">
        <v>5</v>
      </c>
      <c r="S18" s="188">
        <v>259</v>
      </c>
      <c r="T18" s="188">
        <v>405</v>
      </c>
      <c r="U18" s="188">
        <v>427</v>
      </c>
      <c r="V18" s="188">
        <v>242</v>
      </c>
      <c r="W18" s="188">
        <v>10</v>
      </c>
      <c r="X18" s="194">
        <v>255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259</v>
      </c>
      <c r="AZ18" s="131">
        <f t="shared" si="15"/>
        <v>405</v>
      </c>
      <c r="BA18" s="131">
        <f t="shared" si="15"/>
        <v>427</v>
      </c>
      <c r="BB18" s="131">
        <f t="shared" si="15"/>
        <v>242</v>
      </c>
      <c r="BC18" s="127">
        <f>IF(ISNUMBER(W18),W18," - ")</f>
        <v>10</v>
      </c>
      <c r="BD18" s="128">
        <f>IF(ISNUMBER(BA18/AZ18),BA18/AZ18," - ")</f>
        <v>1.0543209876543209</v>
      </c>
      <c r="BE18" s="129">
        <f>IF(ISNUMBER(BB18/BA18),BB18/BA18, " - ")</f>
        <v>0.56674473067915687</v>
      </c>
      <c r="BF18" s="129">
        <f>IF(ISNUMBER(BC18/BA18),BC18/BA18, " - ")</f>
        <v>2.3419203747072601E-2</v>
      </c>
      <c r="BG18" s="201">
        <f>IF(ISNUMBER((AY18+AZ18)/BA18),(AY18+AZ18)/BA18," - ")</f>
        <v>1.5550351288056206</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1299</v>
      </c>
      <c r="J20" s="189">
        <f t="shared" si="16"/>
        <v>2355</v>
      </c>
      <c r="K20" s="189">
        <f t="shared" si="16"/>
        <v>2403</v>
      </c>
      <c r="L20" s="189">
        <f t="shared" si="16"/>
        <v>1329</v>
      </c>
      <c r="M20" s="189">
        <f t="shared" si="16"/>
        <v>249</v>
      </c>
      <c r="N20" s="189">
        <f t="shared" si="16"/>
        <v>1436</v>
      </c>
      <c r="O20" s="189">
        <f t="shared" si="16"/>
        <v>18</v>
      </c>
      <c r="P20" s="189">
        <f t="shared" si="16"/>
        <v>81</v>
      </c>
      <c r="Q20" s="189">
        <f t="shared" si="16"/>
        <v>35</v>
      </c>
      <c r="R20" s="189">
        <f t="shared" si="16"/>
        <v>433</v>
      </c>
      <c r="S20" s="189">
        <f t="shared" si="16"/>
        <v>1306</v>
      </c>
      <c r="T20" s="189">
        <f t="shared" si="16"/>
        <v>2381</v>
      </c>
      <c r="U20" s="189">
        <f t="shared" si="16"/>
        <v>2606</v>
      </c>
      <c r="V20" s="189">
        <f t="shared" si="16"/>
        <v>1129</v>
      </c>
      <c r="W20" s="189">
        <f t="shared" si="16"/>
        <v>290</v>
      </c>
      <c r="X20" s="189">
        <f t="shared" si="16"/>
        <v>1542</v>
      </c>
      <c r="Y20" s="189">
        <f t="shared" si="16"/>
        <v>0</v>
      </c>
      <c r="Z20" s="189">
        <f t="shared" si="16"/>
        <v>0</v>
      </c>
      <c r="AA20" s="189">
        <f t="shared" si="16"/>
        <v>0</v>
      </c>
      <c r="AB20" s="189">
        <f t="shared" si="16"/>
        <v>0</v>
      </c>
      <c r="AC20" s="189">
        <f t="shared" si="16"/>
        <v>0</v>
      </c>
      <c r="AD20" s="189">
        <f t="shared" si="16"/>
        <v>51</v>
      </c>
      <c r="AE20" s="189">
        <f t="shared" si="16"/>
        <v>51</v>
      </c>
      <c r="AF20" s="189">
        <f t="shared" si="16"/>
        <v>0</v>
      </c>
      <c r="AG20" s="189">
        <f t="shared" si="16"/>
        <v>0</v>
      </c>
      <c r="AH20" s="189">
        <f t="shared" si="16"/>
        <v>0</v>
      </c>
      <c r="AI20" s="189">
        <f t="shared" si="16"/>
        <v>0</v>
      </c>
      <c r="AJ20" s="189">
        <f t="shared" si="16"/>
        <v>0</v>
      </c>
      <c r="AK20" s="189">
        <f t="shared" si="16"/>
        <v>0</v>
      </c>
      <c r="AL20" s="189">
        <f t="shared" si="16"/>
        <v>23</v>
      </c>
      <c r="AM20" s="189">
        <f t="shared" si="16"/>
        <v>23</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1306</v>
      </c>
      <c r="AZ20" s="189">
        <f>SUBTOTAL(9,AZ15:AZ19)</f>
        <v>2381</v>
      </c>
      <c r="BA20" s="189">
        <f>SUBTOTAL(9,BA15:BA19)</f>
        <v>2606</v>
      </c>
      <c r="BB20" s="189">
        <f>SUBTOTAL(9,BB15:BB19)</f>
        <v>1129</v>
      </c>
      <c r="BC20" s="189">
        <f>SUBTOTAL(9,BC15:BC19)</f>
        <v>290</v>
      </c>
      <c r="BD20" s="210">
        <f>IF(ISNUMBER(BA20/AZ20),BA20/AZ20," - ")</f>
        <v>1.0944981100377993</v>
      </c>
      <c r="BE20" s="211">
        <f>IF(ISNUMBER(BB20/BA20),BB20/BA20, " - ")</f>
        <v>0.43323100537221798</v>
      </c>
      <c r="BF20" s="211">
        <f>IF(ISNUMBER(BC20/BA20),BC20/BA20, " - ")</f>
        <v>0.11128165771297006</v>
      </c>
      <c r="BG20" s="212">
        <f>IF(ISNUMBER((AY20+AZ20)/BA20),(AY20+AZ20)/BA20," - ")</f>
        <v>1.4148119723714505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7753</v>
      </c>
      <c r="J21" s="136">
        <f t="shared" si="19"/>
        <v>5040</v>
      </c>
      <c r="K21" s="136">
        <f t="shared" si="19"/>
        <v>4453</v>
      </c>
      <c r="L21" s="136">
        <f t="shared" si="19"/>
        <v>8430</v>
      </c>
      <c r="M21" s="136">
        <f t="shared" si="19"/>
        <v>584</v>
      </c>
      <c r="N21" s="136">
        <f t="shared" si="19"/>
        <v>2880</v>
      </c>
      <c r="O21" s="136">
        <f t="shared" si="19"/>
        <v>682</v>
      </c>
      <c r="P21" s="136">
        <f t="shared" si="19"/>
        <v>590</v>
      </c>
      <c r="Q21" s="136">
        <f t="shared" si="19"/>
        <v>353</v>
      </c>
      <c r="R21" s="136">
        <f t="shared" si="19"/>
        <v>8075</v>
      </c>
      <c r="S21" s="136">
        <f t="shared" si="19"/>
        <v>5610</v>
      </c>
      <c r="T21" s="136">
        <f t="shared" si="19"/>
        <v>5055</v>
      </c>
      <c r="U21" s="136">
        <f t="shared" si="19"/>
        <v>5630</v>
      </c>
      <c r="V21" s="136">
        <f t="shared" si="19"/>
        <v>5712</v>
      </c>
      <c r="W21" s="136">
        <f t="shared" si="19"/>
        <v>829</v>
      </c>
      <c r="X21" s="136">
        <f t="shared" si="19"/>
        <v>3404</v>
      </c>
      <c r="Y21" s="136">
        <f t="shared" si="19"/>
        <v>268</v>
      </c>
      <c r="Z21" s="136">
        <f t="shared" si="19"/>
        <v>250</v>
      </c>
      <c r="AA21" s="136">
        <f t="shared" si="19"/>
        <v>258</v>
      </c>
      <c r="AB21" s="136">
        <f t="shared" si="19"/>
        <v>260</v>
      </c>
      <c r="AC21" s="136">
        <f t="shared" si="19"/>
        <v>0</v>
      </c>
      <c r="AD21" s="136">
        <f t="shared" si="19"/>
        <v>51</v>
      </c>
      <c r="AE21" s="136">
        <f t="shared" si="19"/>
        <v>51</v>
      </c>
      <c r="AF21" s="136">
        <f t="shared" si="19"/>
        <v>0</v>
      </c>
      <c r="AG21" s="136">
        <f t="shared" si="19"/>
        <v>161</v>
      </c>
      <c r="AH21" s="136">
        <f t="shared" si="19"/>
        <v>232</v>
      </c>
      <c r="AI21" s="136">
        <f t="shared" si="19"/>
        <v>237</v>
      </c>
      <c r="AJ21" s="136">
        <f t="shared" si="19"/>
        <v>156</v>
      </c>
      <c r="AK21" s="136">
        <f t="shared" si="19"/>
        <v>0</v>
      </c>
      <c r="AL21" s="136">
        <f t="shared" si="19"/>
        <v>23</v>
      </c>
      <c r="AM21" s="136">
        <f t="shared" si="19"/>
        <v>23</v>
      </c>
      <c r="AN21" s="215">
        <f t="shared" si="19"/>
        <v>0</v>
      </c>
      <c r="AO21" s="216">
        <v>11</v>
      </c>
      <c r="AP21" s="216">
        <v>11</v>
      </c>
      <c r="AQ21" s="216">
        <v>11</v>
      </c>
      <c r="AR21" s="216">
        <v>11</v>
      </c>
      <c r="AS21" s="158">
        <f t="shared" si="19"/>
        <v>0</v>
      </c>
      <c r="AT21" s="158">
        <f t="shared" si="19"/>
        <v>0</v>
      </c>
      <c r="AU21" s="216"/>
      <c r="AV21" s="217"/>
      <c r="AW21" s="216"/>
      <c r="AX21" s="217"/>
      <c r="AY21" s="135">
        <f>SUBTOTAL(9,AY9:AY20)</f>
        <v>5771</v>
      </c>
      <c r="AZ21" s="136">
        <f>SUBTOTAL(9,AZ9:AZ20)</f>
        <v>5287</v>
      </c>
      <c r="BA21" s="136">
        <f>SUBTOTAL(9,BA9:BA20)</f>
        <v>5867</v>
      </c>
      <c r="BB21" s="136">
        <f>SUBTOTAL(9,BB9:BB20)</f>
        <v>5868</v>
      </c>
      <c r="BC21" s="137">
        <f>SUBTOTAL(9,BC9:BC20)</f>
        <v>2142</v>
      </c>
      <c r="BD21" s="218">
        <f>IF(ISNUMBER(BA21/AZ21),BA21/AZ21," - ")</f>
        <v>1.1097030452052203</v>
      </c>
      <c r="BE21" s="215">
        <f>IF(ISNUMBER(BB21/BA21),BB21/BA21, " - ")</f>
        <v>1.0001704448610875</v>
      </c>
      <c r="BF21" s="215">
        <f>IF(ISNUMBER(BC21/BA21),BC21/BA21, " - ")</f>
        <v>0.36509289244929266</v>
      </c>
      <c r="BG21" s="137">
        <f>IF(ISNUMBER((AY21+AZ21)/BA21),(AY21+AZ21)/BA21," - ")</f>
        <v>1.8847792739048919</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p5Zfb8DyQVR0/lG7gZdx+ZECT1xOKmXc/yK85M/wxkHD6SboyiBnSfW+Gry0M2nvimP9OP8th1We7f+wRi+LQ==" saltValue="kOMiNC07iU16Pcp+GQEm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So8SUH91cEawFwZuqvl2wgpKnNIGrjIPlI/Uc0sqzluZC3MhopG9lYQ4xEuZMG+X+EtELlkpqJukkSs2lpWIQ==" saltValue="COulqEq6ATNmbaAG0H2Y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TORREJON DE ARDOZ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250</v>
      </c>
      <c r="O9" s="504"/>
      <c r="P9" s="504"/>
      <c r="Q9" s="502">
        <f>IF(ISNUMBER(Datos!P9),Datos!P9,0)</f>
        <v>505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297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260</v>
      </c>
      <c r="AI9" s="504" t="str">
        <f>IF(ISNUMBER(Datos!CD9),Datos!CD9,"-")</f>
        <v>-</v>
      </c>
      <c r="AJ9" s="504" t="str">
        <f>IF(ISNUMBER(Datos!EN9),Datos!EN9," - ")</f>
        <v xml:space="preserve"> - </v>
      </c>
      <c r="AK9" s="504"/>
      <c r="AL9" s="505"/>
      <c r="AM9" s="672">
        <f>IF(ISNUMBER(Datos!R9),Datos!R9," - ")</f>
        <v>7122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330</v>
      </c>
      <c r="BD9" s="620">
        <f>IF(ISNUMBER(Datos!N9),Datos!N9," - ")</f>
        <v>1418</v>
      </c>
      <c r="BE9" s="620" t="str">
        <f>IF(ISNUMBER(Datos!BW9),Datos!BW9," - ")</f>
        <v xml:space="preserve"> - </v>
      </c>
      <c r="BF9" s="668" t="str">
        <f>IF(ISNUMBER(Datos!BX9),Datos!BX9," - ")</f>
        <v xml:space="preserve"> - </v>
      </c>
      <c r="BG9" s="669">
        <f>IF(ISNUMBER(IF(J_V="SI",Datos!K9/Datos!J9,(Datos!K9+Datos!AA9)/(Datos!J9+Datos!Z9))),IF(J_V="SI",Datos!K9/Datos!J9,(Datos!K9+Datos!AA9)/(Datos!J9+Datos!Z9))," - ")</f>
        <v>0.78576364892881823</v>
      </c>
      <c r="BH9" s="670">
        <f>IF(ISNUMBER(((IF(J_V="SI",Datos!L9/Datos!K9,(Datos!L9+Datos!AB9)/(Datos!K9+Datos!AA9)))*11)/factor_trimestre),((IF(J_V="SI",Datos!L9/Datos!K9,(Datos!L9+Datos!AB9)/(Datos!K9+Datos!AA9)))*11)/factor_trimestre," - ")</f>
        <v>9.5369393139841687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3.0083887763957189E-2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125</v>
      </c>
      <c r="G10" s="498">
        <f>IF(ISNUMBER(Datos!I10),Datos!I10," - ")</f>
        <v>125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33</v>
      </c>
      <c r="AC10" s="502">
        <f>IF(ISNUMBER(Datos!Q10),Datos!Q10," - ")</f>
        <v>4</v>
      </c>
      <c r="AD10" s="504"/>
      <c r="AE10" s="517"/>
      <c r="AF10" s="506">
        <f>IF(ISNUMBER(Datos!L10),Datos!L10,"-")</f>
        <v>132</v>
      </c>
      <c r="AG10" s="504"/>
      <c r="AH10" s="504"/>
      <c r="AI10" s="504"/>
      <c r="AJ10" s="504"/>
      <c r="AK10" s="504"/>
      <c r="AL10" s="505"/>
      <c r="AM10" s="672">
        <f>IF(ISNUMBER(Datos!R10),Datos!R10," - ")</f>
        <v>76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24</v>
      </c>
      <c r="BE10" s="620" t="str">
        <f>IF(ISNUMBER(Datos!BW10),Datos!BW10," - ")</f>
        <v xml:space="preserve"> - </v>
      </c>
      <c r="BF10" s="668" t="str">
        <f>IF(ISNUMBER(Datos!BX10),Datos!BX10," - ")</f>
        <v xml:space="preserve"> - </v>
      </c>
      <c r="BG10" s="669">
        <f>IF(ISNUMBER(Datos!K10/Datos!J10),Datos!K10/Datos!J10," - ")</f>
        <v>0.82499999999999996</v>
      </c>
      <c r="BH10" s="670">
        <f>IF(ISNUMBER(((Datos!L10/Datos!K10)*11)/factor_trimestre),((Datos!L10/Datos!K10)*11)/factor_trimestre," - ")</f>
        <v>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444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v>
      </c>
      <c r="BH12" s="670">
        <f>IF(ISNUMBER(((IF(J_V="SI",Datos!L12/Datos!K12,(Datos!L12+Datos!AB12)/(Datos!K12+Datos!AA12)))*11)/factor_trimestre),((IF(J_V="SI",Datos!L12/Datos!K12,(Datos!L12+Datos!AB12)/(Datos!K12+Datos!AA12)))*11)/factor_trimestre," - ")</f>
        <v>0</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-3.6876355748373099E-2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125</v>
      </c>
      <c r="G14" s="1045">
        <f t="shared" si="1"/>
        <v>125</v>
      </c>
      <c r="H14" s="1046">
        <f t="shared" si="1"/>
        <v>0</v>
      </c>
      <c r="I14" s="1045">
        <f t="shared" si="1"/>
        <v>0</v>
      </c>
      <c r="J14" s="1014">
        <f t="shared" si="1"/>
        <v>0</v>
      </c>
      <c r="K14" s="1014">
        <f t="shared" si="1"/>
        <v>0</v>
      </c>
      <c r="L14" s="1046">
        <f t="shared" si="1"/>
        <v>0</v>
      </c>
      <c r="M14" s="1046">
        <f t="shared" si="1"/>
        <v>0</v>
      </c>
      <c r="N14" s="1046">
        <f t="shared" si="1"/>
        <v>250</v>
      </c>
      <c r="O14" s="1047">
        <f t="shared" si="1"/>
        <v>0</v>
      </c>
      <c r="P14" s="1047">
        <f t="shared" si="1"/>
        <v>0</v>
      </c>
      <c r="Q14" s="1046">
        <f t="shared" si="1"/>
        <v>509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33</v>
      </c>
      <c r="AC14" s="1046">
        <f t="shared" si="2"/>
        <v>318</v>
      </c>
      <c r="AD14" s="1046">
        <f t="shared" si="2"/>
        <v>0</v>
      </c>
      <c r="AE14" s="1046">
        <f t="shared" si="2"/>
        <v>0</v>
      </c>
      <c r="AF14" s="1046">
        <f t="shared" si="2"/>
        <v>132</v>
      </c>
      <c r="AG14" s="1046">
        <f t="shared" si="2"/>
        <v>0</v>
      </c>
      <c r="AH14" s="1046">
        <f t="shared" si="2"/>
        <v>260</v>
      </c>
      <c r="AI14" s="1046">
        <f t="shared" si="2"/>
        <v>0</v>
      </c>
      <c r="AJ14" s="1046">
        <f t="shared" si="2"/>
        <v>0</v>
      </c>
      <c r="AK14" s="1046">
        <f t="shared" si="2"/>
        <v>0</v>
      </c>
      <c r="AL14" s="1046">
        <f t="shared" si="2"/>
        <v>0</v>
      </c>
      <c r="AM14" s="1046">
        <f t="shared" si="2"/>
        <v>7642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335</v>
      </c>
      <c r="BD14" s="1046">
        <f t="shared" si="2"/>
        <v>1444</v>
      </c>
      <c r="BE14" s="1046">
        <f t="shared" si="2"/>
        <v>0</v>
      </c>
      <c r="BF14" s="1046">
        <f t="shared" si="2"/>
        <v>0</v>
      </c>
      <c r="BG14" s="1046">
        <f>IF(ISNUMBER(Datos!K14/Datos!J14),Datos!K14/Datos!J14," - ")</f>
        <v>0.76350093109869643</v>
      </c>
      <c r="BH14" s="1050">
        <f>IF(ISNUMBER(((Datos!L14/Datos!K14)*11)/factor_trimestre),((Datos!L14/Datos!K14)*11)/factor_trimestre," - ")</f>
        <v>10.391707317073172</v>
      </c>
      <c r="BI14" s="1046">
        <f>IF(ISNUMBER('Resol  Asuntos'!D14/NºAsuntos!G14),'Resol  Asuntos'!D14/NºAsuntos!G14," - ")</f>
        <v>0.1451473136915078</v>
      </c>
      <c r="BJ14" s="1046" t="str">
        <f>IF(ISNUMBER(Datos!CI14/Datos!CJ14),Datos!CI14/Datos!CJ14," - ")</f>
        <v xml:space="preserve"> - </v>
      </c>
      <c r="BK14" s="1046">
        <f>SUBTOTAL(9,BK8:BK13)</f>
        <v>0</v>
      </c>
      <c r="BL14" s="1046">
        <f>IF(ISNUMBER((I14-AB14+L14)/(F14)),(I14-AB14+L14)/(F14)," - ")</f>
        <v>-0.26400000000000001</v>
      </c>
      <c r="BM14" s="1051">
        <f>SUBTOTAL(9,BM9:BM13)</f>
        <v>-6.7924679844159098E-3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1119</v>
      </c>
      <c r="G16" s="651">
        <f>IF(ISNUMBER(IF(D_I="SI",Datos!I16,Datos!I16+Datos!AC16)),IF(D_I="SI",Datos!I16,Datos!I16+Datos!AC16)," - ")</f>
        <v>1044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2046</v>
      </c>
      <c r="AC16" s="231">
        <f>IF(ISNUMBER(Datos!Q16),Datos!Q16," - ")</f>
        <v>33</v>
      </c>
      <c r="AD16" s="344"/>
      <c r="AE16" s="516"/>
      <c r="AF16" s="649">
        <f>IF(ISNUMBER(IF(D_I="SI",Datos!L16,Datos!L16+Datos!AF16)),IF(D_I="SI",Datos!L16,Datos!L16+Datos!AF16)," - ")</f>
        <v>1126</v>
      </c>
      <c r="AG16" s="344"/>
      <c r="AH16" s="344"/>
      <c r="AI16" s="344"/>
      <c r="AJ16" s="504"/>
      <c r="AK16" s="344"/>
      <c r="AL16" s="500"/>
      <c r="AM16" s="345">
        <f>IF(ISNUMBER(Datos!R16),Datos!R16," - ")</f>
        <v>428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228</v>
      </c>
      <c r="BD16" s="234">
        <f>IF(ISNUMBER(Datos!N16),Datos!N16," - ")</f>
        <v>1234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0.9965903555772041</v>
      </c>
      <c r="BH16" s="670">
        <f>IF(ISNUMBER(((IF(D_I="SI",Datos!L16/Datos!K16,(Datos!L16+Datos!AF16)/(Datos!K16+Datos!AE16)))*11)/factor_trimestre),((IF(D_I="SI",Datos!L16/Datos!K16,(Datos!L16+Datos!AF16)/(Datos!K16+Datos!AE16)))*11)/factor_trimestre," - ")</f>
        <v>1.6510263929618767</v>
      </c>
      <c r="BI16" s="248">
        <f>IF(ISNUMBER('Resol  Asuntos'!D16/NºAsuntos!G16),'Resol  Asuntos'!D16/NºAsuntos!G16," - ")</f>
        <v>0.11143695014662756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8</v>
      </c>
      <c r="G17" s="651">
        <f>IF(ISNUMBER(IF(D_I="SI",Datos!I17,Datos!I17+Datos!AC17)),IF(D_I="SI",Datos!I17,Datos!I17+Datos!AC17)," - ")</f>
        <v>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8</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247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357</v>
      </c>
      <c r="AC18" s="502">
        <f>IF(ISNUMBER(Datos!Q18),Datos!Q18," - ")</f>
        <v>2</v>
      </c>
      <c r="AD18" s="504"/>
      <c r="AE18" s="516"/>
      <c r="AF18" s="506">
        <f>IF(ISNUMBER(Datos!L18),Datos!L18,"-")</f>
        <v>195</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21</v>
      </c>
      <c r="BD18" s="620">
        <f>IF(ISNUMBER(Datos!N18),Datos!N18," - ")</f>
        <v>202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1.1821192052980132</v>
      </c>
      <c r="BH18" s="670">
        <f>IF(ISNUMBER(((IF(D_I="SI",Datos!L18/Datos!K18,(Datos!L18+Datos!AF18)/(Datos!K18+Datos!AE18)))*11)/factor_trimestre),((IF(D_I="SI",Datos!L18/Datos!K18,(Datos!L18+Datos!AF18)/(Datos!K18+Datos!AE18)))*11)/factor_trimestre," - ")</f>
        <v>1.6386554621848737</v>
      </c>
      <c r="BI18" s="669">
        <f>IF(ISNUMBER('Resol  Asuntos'!D18/NºAsuntos!G18),'Resol  Asuntos'!D18/NºAsuntos!G18," - ")</f>
        <v>5.8823529411764705E-2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1127</v>
      </c>
      <c r="G20" s="1045">
        <f>SUBTOTAL(9,G16:G19)</f>
        <v>1299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2403</v>
      </c>
      <c r="AC20" s="1046">
        <f t="shared" si="5"/>
        <v>35</v>
      </c>
      <c r="AD20" s="1046">
        <f t="shared" si="5"/>
        <v>0</v>
      </c>
      <c r="AE20" s="1046">
        <f t="shared" si="5"/>
        <v>0</v>
      </c>
      <c r="AF20" s="1046">
        <f t="shared" si="5"/>
        <v>1329</v>
      </c>
      <c r="AG20" s="1046">
        <f t="shared" si="5"/>
        <v>0</v>
      </c>
      <c r="AH20" s="1046">
        <f t="shared" si="5"/>
        <v>0</v>
      </c>
      <c r="AI20" s="1046">
        <f t="shared" si="5"/>
        <v>0</v>
      </c>
      <c r="AJ20" s="1046">
        <f t="shared" si="5"/>
        <v>0</v>
      </c>
      <c r="AK20" s="1046">
        <f t="shared" si="5"/>
        <v>0</v>
      </c>
      <c r="AL20" s="1046">
        <f t="shared" si="5"/>
        <v>0</v>
      </c>
      <c r="AM20" s="1046">
        <f t="shared" si="5"/>
        <v>433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249</v>
      </c>
      <c r="BD20" s="1046">
        <f t="shared" si="5"/>
        <v>1436</v>
      </c>
      <c r="BE20" s="1046">
        <f t="shared" si="5"/>
        <v>0</v>
      </c>
      <c r="BF20" s="1046">
        <f t="shared" si="5"/>
        <v>0</v>
      </c>
      <c r="BG20" s="1046">
        <f>IF(ISNUMBER(Datos!K20/Datos!J20),Datos!K20/Datos!J20," - ")</f>
        <v>1.0203821656050955</v>
      </c>
      <c r="BH20" s="1050">
        <f>IF(ISNUMBER(((Datos!L20/Datos!K20)*11)/factor_trimestre),((Datos!L20/Datos!K20)*11)/factor_trimestre," - ")</f>
        <v>1.6591760299625469</v>
      </c>
      <c r="BI20" s="1046">
        <f>SUBTOTAL(9,BI16:BI19)</f>
        <v>0.17026047955839227</v>
      </c>
      <c r="BJ20" s="1046">
        <f>SUBTOTAL(9,BJ16:BJ19)</f>
        <v>0</v>
      </c>
      <c r="BK20" s="1046">
        <f>SUBTOTAL(9,BK16:BK19)</f>
        <v>0</v>
      </c>
      <c r="BL20" s="1046">
        <f>IF(ISNUMBER((I20-AB20+L20)/(F20)),(I20-AB20+L20)/(F20)," - ")</f>
        <v>-2.1322094055013308</v>
      </c>
      <c r="BM20" s="1052">
        <f>IF(ISNUMBER((Datos!P20-Datos!Q20)/(Datos!R20-Datos!P20+Datos!Q20)),(Datos!P20-Datos!Q20)/(Datos!R20-Datos!P20+Datos!Q20)," - ")</f>
        <v>0.11886304909560723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1252</v>
      </c>
      <c r="G21" s="967">
        <f t="shared" si="7"/>
        <v>1424</v>
      </c>
      <c r="H21" s="969">
        <f t="shared" si="7"/>
        <v>0</v>
      </c>
      <c r="I21" s="967">
        <f t="shared" si="7"/>
        <v>0</v>
      </c>
      <c r="J21" s="969">
        <f t="shared" si="7"/>
        <v>0</v>
      </c>
      <c r="K21" s="969">
        <f t="shared" si="7"/>
        <v>0</v>
      </c>
      <c r="L21" s="1028">
        <f t="shared" si="7"/>
        <v>0</v>
      </c>
      <c r="M21" s="1028">
        <f t="shared" si="7"/>
        <v>0</v>
      </c>
      <c r="N21" s="1028">
        <f t="shared" si="7"/>
        <v>250</v>
      </c>
      <c r="O21" s="1028">
        <f t="shared" si="7"/>
        <v>0</v>
      </c>
      <c r="P21" s="1028">
        <f t="shared" si="7"/>
        <v>0</v>
      </c>
      <c r="Q21" s="969">
        <f t="shared" si="7"/>
        <v>590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2436</v>
      </c>
      <c r="AC21" s="968">
        <f t="shared" si="8"/>
        <v>353</v>
      </c>
      <c r="AD21" s="968">
        <f t="shared" si="8"/>
        <v>0</v>
      </c>
      <c r="AE21" s="968">
        <f t="shared" si="8"/>
        <v>0</v>
      </c>
      <c r="AF21" s="975">
        <f t="shared" si="8"/>
        <v>1461</v>
      </c>
      <c r="AG21" s="975">
        <f t="shared" si="8"/>
        <v>0</v>
      </c>
      <c r="AH21" s="975">
        <f t="shared" si="8"/>
        <v>260</v>
      </c>
      <c r="AI21" s="975">
        <f t="shared" si="8"/>
        <v>0</v>
      </c>
      <c r="AJ21" s="968">
        <f t="shared" si="8"/>
        <v>0</v>
      </c>
      <c r="AK21" s="975">
        <f t="shared" si="8"/>
        <v>0</v>
      </c>
      <c r="AL21" s="975">
        <f t="shared" si="8"/>
        <v>0</v>
      </c>
      <c r="AM21" s="975">
        <f t="shared" si="8"/>
        <v>8075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584</v>
      </c>
      <c r="BD21" s="967">
        <f t="shared" si="8"/>
        <v>2880</v>
      </c>
      <c r="BE21" s="967">
        <f t="shared" si="8"/>
        <v>0</v>
      </c>
      <c r="BF21" s="977">
        <f t="shared" si="8"/>
        <v>0</v>
      </c>
      <c r="BG21" s="1062">
        <f>IF(ISNUMBER(Datos!K21/Datos!J21),Datos!K21/Datos!J21," - ")</f>
        <v>0.883531746031746</v>
      </c>
      <c r="BH21" s="1062">
        <f>IF(ISNUMBER(((Datos!L21/Datos!K21)*11)/factor_trimestre),((Datos!L21/Datos!K21)*11)/factor_trimestre," - ")</f>
        <v>5.6793173141702225</v>
      </c>
      <c r="BI21" s="960">
        <f>IF(ISNUMBER(Datos!J21/Datos!I21),Datos!J21/Datos!I21," - ")</f>
        <v>0.65007094028118151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-1.9456869009584665</v>
      </c>
      <c r="BM21" s="1036">
        <f>IF(ISNUMBER((Datos!P21-Datos!Q21+R21)/(Datos!R21-Datos!P21+Datos!Q21-R21)),(Datos!P21-Datos!Q21+R21)/(Datos!R21-Datos!P21+Datos!Q21-R21)," - ")</f>
        <v>3.0237305435059963E-2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474.66666666666669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2.7502066038093145</v>
      </c>
      <c r="F23" s="600">
        <f>IF(ISNUMBER(STDEV(F8:F20)),STDEV(F8:F20),"-")</f>
        <v>570.0001754385695</v>
      </c>
      <c r="G23" s="601">
        <f>IF(ISNUMBER(STDEV(G8:G20)),STDEV(G8:G20),"-")</f>
        <v>550.96448766382991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1107.6179846860559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153.55222471291555</v>
      </c>
      <c r="BD23" s="600"/>
      <c r="BE23" s="600">
        <f>IF(ISNUMBER(STDEV(BE8:BE20)),STDEV(BE8:BE20),"-")</f>
        <v>0</v>
      </c>
      <c r="BF23" s="605">
        <f>IF(ISNUMBER(STDEV(BF8:BF20)),STDEV(BF8:BF20),"-")</f>
        <v>0</v>
      </c>
      <c r="BG23" s="915">
        <f>IF(ISNUMBER(STDEV(BG8:BG20)),STDEV(BG8:BG20),"-")</f>
        <v>0.1527770370274516</v>
      </c>
      <c r="BH23" s="919">
        <f>IF(ISNUMBER(STDEV(BH8:BH20)),STDEV(BH8:BH20),"-")</f>
        <v>5.1125029341318005</v>
      </c>
      <c r="BI23" s="254">
        <f>IF(ISNUMBER(STDEV(BI8:BI20)),STDEV(BI8:BI20),"-")</f>
        <v>4.8188370791460669E-2</v>
      </c>
      <c r="BJ23" s="235" t="str">
        <f>IF(ISNUMBER(BL23/BM23),BL23/BM23," - ")</f>
        <v xml:space="preserve"> - </v>
      </c>
      <c r="BK23" s="627"/>
      <c r="BL23" s="608">
        <f>IF(ISNUMBER(STDEV(BL8:BL20)),STDEV(BL8:BL20),"-")</f>
        <v>1.3210235393064795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TlaXEMYMCPMms6kuy0l2z6rNGX2KrG2YuqP4JCzLxo2oG7gNYAYMtcuXMsRBx51e7Eehu1z2xHQqs8Pa3+sCA==" saltValue="dMCgsqpODPHkKMC1qwz4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TORREJON DE ARDOZ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505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297</v>
      </c>
      <c r="AA9" s="506" t="str">
        <f>IF(ISNUMBER(IF(J_V="SI",Datos!L9,Datos!L9+Datos!AB9)-IF(Monitorios="SI",Datos!CD9,0)),
                          IF(J_V="SI",Datos!L9,Datos!L9+Datos!AB9)-IF(Monitorios="SI",Datos!CD9,0),
                          " - ")</f>
        <v xml:space="preserve"> - </v>
      </c>
      <c r="AB9" s="504"/>
      <c r="AC9" s="504"/>
      <c r="AD9" s="517"/>
      <c r="AE9" s="517">
        <f>IF(ISNUMBER(Datos!R9),Datos!R9," - ")</f>
        <v>7122</v>
      </c>
      <c r="AF9" s="620" t="str">
        <f>IF(ISNUMBER(Datos!BV9),Datos!BV9," - ")</f>
        <v xml:space="preserve"> - </v>
      </c>
      <c r="AG9" s="507" t="str">
        <f>IF(ISNUMBER(Datos!DV9),Datos!DV9," - ")</f>
        <v xml:space="preserve"> - </v>
      </c>
      <c r="AH9" s="508"/>
      <c r="AI9" s="509"/>
      <c r="AJ9" s="507">
        <f>IF(ISNUMBER(Datos!M9),Datos!M9," - ")</f>
        <v>330</v>
      </c>
      <c r="AK9" s="620">
        <f>IF(ISNUMBER(Datos!N9),Datos!N9," - ")</f>
        <v>1418</v>
      </c>
      <c r="AL9" s="620" t="str">
        <f>IF(ISNUMBER(Datos!BW9),Datos!BW9," - ")</f>
        <v xml:space="preserve"> - </v>
      </c>
      <c r="AM9" s="668" t="str">
        <f>IF(ISNUMBER(Datos!BX9),Datos!BX9," - ")</f>
        <v xml:space="preserve"> - </v>
      </c>
      <c r="AN9" s="669"/>
      <c r="AO9" s="670">
        <f>IF(ISNUMBER(((NºAsuntos!I9/NºAsuntos!G9)*11)/factor_trimestre),((NºAsuntos!I9/NºAsuntos!G9)*11)/factor_trimestre," - ")</f>
        <v>9.5369393139841687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3.0083887763957189E-2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125</v>
      </c>
      <c r="G10" s="507">
        <f>IF(ISNUMBER(Datos!I10),Datos!I10," - ")</f>
        <v>125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33</v>
      </c>
      <c r="Z10" s="704">
        <f>IF(ISNUMBER(Datos!Q10),Datos!Q10," - ")</f>
        <v>4</v>
      </c>
      <c r="AA10" s="506">
        <f>IF(ISNUMBER(Datos!L10),Datos!L10,"-")</f>
        <v>132</v>
      </c>
      <c r="AB10" s="504"/>
      <c r="AC10" s="504"/>
      <c r="AD10" s="517"/>
      <c r="AE10" s="517">
        <f>IF(ISNUMBER(Datos!R10),Datos!R10," - ")</f>
        <v>76</v>
      </c>
      <c r="AF10" s="620" t="str">
        <f>IF(ISNUMBER(Datos!BV10),Datos!BV10," - ")</f>
        <v xml:space="preserve"> - </v>
      </c>
      <c r="AG10" s="507" t="str">
        <f>IF(ISNUMBER(Datos!DV10),Datos!DV10," - ")</f>
        <v xml:space="preserve"> - </v>
      </c>
      <c r="AH10" s="508"/>
      <c r="AI10" s="509"/>
      <c r="AJ10" s="507">
        <f>IF(ISNUMBER(Datos!M10),Datos!M10," - ")</f>
        <v>5</v>
      </c>
      <c r="AK10" s="620">
        <f>IF(ISNUMBER(Datos!N10),Datos!N10," - ")</f>
        <v>24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v>
      </c>
      <c r="AA12" s="506" t="str">
        <f>IF(ISNUMBER(IF(J_V="SI",Datos!L12,Datos!L12+Datos!AB12)-IF(Monitorios="SI",Datos!CD12,0)),
                          IF(J_V="SI",Datos!L12,Datos!L12+Datos!AB12)-IF(Monitorios="SI",Datos!CD12,0),
                          " - ")</f>
        <v xml:space="preserve"> - </v>
      </c>
      <c r="AB12" s="504"/>
      <c r="AC12" s="504"/>
      <c r="AD12" s="517"/>
      <c r="AE12" s="517">
        <f>IF(ISNUMBER(Datos!R12),Datos!R12," - ")</f>
        <v>444</v>
      </c>
      <c r="AF12" s="620" t="str">
        <f>IF(ISNUMBER(Datos!BV12),Datos!BV12," - ")</f>
        <v xml:space="preserve"> - </v>
      </c>
      <c r="AG12" s="507" t="str">
        <f>IF(ISNUMBER(Datos!DV12),Datos!DV12," - ")</f>
        <v xml:space="preserve"> - </v>
      </c>
      <c r="AH12" s="508"/>
      <c r="AI12" s="509"/>
      <c r="AJ12" s="507">
        <f>IF(ISNUMBER(Datos!M12),Datos!M12," - ")</f>
        <v>0</v>
      </c>
      <c r="AK12" s="620">
        <f>IF(ISNUMBER(Datos!N12),Datos!N12," - ")</f>
        <v>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0</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-3.6876355748373099E-2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125</v>
      </c>
      <c r="G14" s="1045">
        <f>SUBTOTAL(9,G8:G13)</f>
        <v>125</v>
      </c>
      <c r="H14" s="1055"/>
      <c r="I14" s="1045">
        <f t="shared" ref="I14:N14" si="1">SUBTOTAL(9,I8:I13)</f>
        <v>0</v>
      </c>
      <c r="J14" s="1014">
        <f t="shared" si="1"/>
        <v>0</v>
      </c>
      <c r="K14" s="1055">
        <f t="shared" si="1"/>
        <v>0</v>
      </c>
      <c r="L14" s="1055">
        <f t="shared" si="1"/>
        <v>0</v>
      </c>
      <c r="M14" s="1055">
        <f t="shared" si="1"/>
        <v>0</v>
      </c>
      <c r="N14" s="1055">
        <f t="shared" si="1"/>
        <v>509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33</v>
      </c>
      <c r="Z14" s="1054">
        <f t="shared" si="3"/>
        <v>318</v>
      </c>
      <c r="AA14" s="1047">
        <f t="shared" si="3"/>
        <v>132</v>
      </c>
      <c r="AB14" s="1047">
        <f t="shared" si="3"/>
        <v>0</v>
      </c>
      <c r="AC14" s="1047">
        <f t="shared" si="3"/>
        <v>0</v>
      </c>
      <c r="AD14" s="1047">
        <f t="shared" si="3"/>
        <v>0</v>
      </c>
      <c r="AE14" s="1047">
        <f t="shared" si="3"/>
        <v>7642</v>
      </c>
      <c r="AF14" s="1055">
        <f t="shared" si="3"/>
        <v>0</v>
      </c>
      <c r="AG14" s="1055">
        <f t="shared" si="3"/>
        <v>0</v>
      </c>
      <c r="AH14" s="1055">
        <f t="shared" si="3"/>
        <v>0</v>
      </c>
      <c r="AI14" s="1055">
        <f t="shared" si="3"/>
        <v>0</v>
      </c>
      <c r="AJ14" s="1055">
        <f t="shared" si="3"/>
        <v>335</v>
      </c>
      <c r="AK14" s="1055">
        <f t="shared" si="3"/>
        <v>1444</v>
      </c>
      <c r="AL14" s="1055">
        <f t="shared" si="3"/>
        <v>0</v>
      </c>
      <c r="AM14" s="1055">
        <f t="shared" si="3"/>
        <v>0</v>
      </c>
      <c r="AN14" s="1055">
        <f t="shared" si="3"/>
        <v>0</v>
      </c>
      <c r="AO14" s="1051">
        <f>IF(ISNUMBER(((NºAsuntos!I14/NºAsuntos!G14)*11)/factor_trimestre),((NºAsuntos!I14/NºAsuntos!G14)*11)/factor_trimestre," - ")</f>
        <v>9.5680242634315427</v>
      </c>
      <c r="AP14" s="1057" t="str">
        <f>IF(ISNUMBER(Datos!CI14/Datos!CJ14),Datos!CI14/Datos!CJ14," - ")</f>
        <v xml:space="preserve"> - </v>
      </c>
      <c r="AQ14" s="1075">
        <f t="shared" ref="AQ14:AV14" si="4">SUBTOTAL(9,AQ9:AQ13)</f>
        <v>0</v>
      </c>
      <c r="AR14" s="1075">
        <f t="shared" si="4"/>
        <v>-6.7924679844159098E-3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1119</v>
      </c>
      <c r="G16" s="507">
        <f>IF(ISNUMBER(IF(D_I="SI",Datos!I16,Datos!I16+Datos!AC16)),IF(D_I="SI",Datos!I16,Datos!I16+Datos!AC16)," - ")</f>
        <v>1044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2046</v>
      </c>
      <c r="Z16" s="704">
        <f>IF(ISNUMBER(Datos!Q16),Datos!Q16," - ")</f>
        <v>33</v>
      </c>
      <c r="AA16" s="506">
        <f>IF(ISNUMBER(IF(D_I="SI",Datos!L16,Datos!L16+Datos!AF16)),IF(D_I="SI",Datos!L16,Datos!L16+Datos!AF16)," - ")</f>
        <v>1126</v>
      </c>
      <c r="AB16" s="504"/>
      <c r="AC16" s="504"/>
      <c r="AD16" s="517"/>
      <c r="AE16" s="517">
        <f>IF(ISNUMBER(Datos!R16),Datos!R16," - ")</f>
        <v>428</v>
      </c>
      <c r="AF16" s="620" t="str">
        <f>IF(ISNUMBER(Datos!BV16),Datos!BV16," - ")</f>
        <v xml:space="preserve"> - </v>
      </c>
      <c r="AG16" s="507"/>
      <c r="AH16" s="508"/>
      <c r="AI16" s="509"/>
      <c r="AJ16" s="507">
        <f>IF(ISNUMBER(Datos!M16),Datos!M16," - ")</f>
        <v>228</v>
      </c>
      <c r="AK16" s="620">
        <f>IF(ISNUMBER(Datos!N16),Datos!N16," - ")</f>
        <v>1234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1.6510263929618767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8</v>
      </c>
      <c r="G17" s="507">
        <f>IF(ISNUMBER(IF(D_I="SI",Datos!I17,Datos!I17+Datos!AC17)),IF(D_I="SI",Datos!I17,Datos!I17+Datos!AC17)," - ")</f>
        <v>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8</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247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357</v>
      </c>
      <c r="Z18" s="704">
        <f>IF(ISNUMBER(Datos!Q18),Datos!Q18," - ")</f>
        <v>2</v>
      </c>
      <c r="AA18" s="506">
        <f>IF(ISNUMBER(Datos!L18),Datos!L18,"-")</f>
        <v>195</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21</v>
      </c>
      <c r="AK18" s="620">
        <f>IF(ISNUMBER(Datos!N18),Datos!N18," - ")</f>
        <v>202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1.6386554621848737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1127</v>
      </c>
      <c r="G20" s="1045">
        <f>SUBTOTAL(9,G16:G19)</f>
        <v>1299</v>
      </c>
      <c r="H20" s="1079">
        <f>SUBTOTAL(9,H16:H19)</f>
        <v>0</v>
      </c>
      <c r="I20" s="1058">
        <f>SUBTOTAL(9,I16:I19)</f>
        <v>0</v>
      </c>
      <c r="J20" s="1014">
        <f>SUBTOTAL(9,J15:J19)</f>
        <v>0</v>
      </c>
      <c r="K20" s="1079">
        <f t="shared" ref="K20:S20" si="5">SUBTOTAL(9,K16:K19)</f>
        <v>0</v>
      </c>
      <c r="L20" s="1079">
        <f t="shared" si="5"/>
        <v>0</v>
      </c>
      <c r="M20" s="1079">
        <f t="shared" si="5"/>
        <v>0</v>
      </c>
      <c r="N20" s="1079">
        <f t="shared" si="5"/>
        <v>81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2403</v>
      </c>
      <c r="Z20" s="1079">
        <f t="shared" si="6"/>
        <v>35</v>
      </c>
      <c r="AA20" s="1079">
        <f t="shared" si="6"/>
        <v>1329</v>
      </c>
      <c r="AB20" s="1079">
        <f t="shared" si="6"/>
        <v>0</v>
      </c>
      <c r="AC20" s="1079">
        <f t="shared" si="6"/>
        <v>0</v>
      </c>
      <c r="AD20" s="1079">
        <f t="shared" si="6"/>
        <v>0</v>
      </c>
      <c r="AE20" s="1079">
        <f t="shared" si="6"/>
        <v>433</v>
      </c>
      <c r="AF20" s="1079">
        <f t="shared" si="6"/>
        <v>0</v>
      </c>
      <c r="AG20" s="1079">
        <f t="shared" si="6"/>
        <v>0</v>
      </c>
      <c r="AH20" s="1079">
        <f t="shared" si="6"/>
        <v>0</v>
      </c>
      <c r="AI20" s="1079">
        <f t="shared" si="6"/>
        <v>0</v>
      </c>
      <c r="AJ20" s="1079">
        <f t="shared" si="6"/>
        <v>249</v>
      </c>
      <c r="AK20" s="1079">
        <f t="shared" si="6"/>
        <v>1436</v>
      </c>
      <c r="AL20" s="1079">
        <f t="shared" si="6"/>
        <v>0</v>
      </c>
      <c r="AM20" s="1079">
        <f t="shared" si="6"/>
        <v>0</v>
      </c>
      <c r="AN20" s="1079">
        <f t="shared" si="6"/>
        <v>0</v>
      </c>
      <c r="AO20" s="1081">
        <f>IF(ISNUMBER(((NºAsuntos!I20/NºAsuntos!G20)*11)/factor_trimestre),((NºAsuntos!I20/NºAsuntos!G20)*11)/factor_trimestre," - ")</f>
        <v>1.6591760299625469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1252</v>
      </c>
      <c r="G21" s="967">
        <f t="shared" si="8"/>
        <v>1424</v>
      </c>
      <c r="H21" s="968">
        <f t="shared" si="8"/>
        <v>0</v>
      </c>
      <c r="I21" s="967">
        <f t="shared" si="8"/>
        <v>0</v>
      </c>
      <c r="J21" s="969">
        <f t="shared" si="8"/>
        <v>0</v>
      </c>
      <c r="K21" s="967">
        <f t="shared" si="8"/>
        <v>0</v>
      </c>
      <c r="L21" s="970">
        <f t="shared" si="8"/>
        <v>0</v>
      </c>
      <c r="M21" s="967">
        <f t="shared" si="8"/>
        <v>0</v>
      </c>
      <c r="N21" s="968">
        <f t="shared" si="8"/>
        <v>590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2436</v>
      </c>
      <c r="Z21" s="974">
        <f t="shared" si="9"/>
        <v>353</v>
      </c>
      <c r="AA21" s="975">
        <f t="shared" si="9"/>
        <v>1461</v>
      </c>
      <c r="AB21" s="975">
        <f t="shared" si="9"/>
        <v>0</v>
      </c>
      <c r="AC21" s="975">
        <f t="shared" si="9"/>
        <v>0</v>
      </c>
      <c r="AD21" s="976">
        <f t="shared" si="9"/>
        <v>0</v>
      </c>
      <c r="AE21" s="976">
        <f t="shared" si="9"/>
        <v>8075</v>
      </c>
      <c r="AF21" s="977">
        <f t="shared" si="9"/>
        <v>0</v>
      </c>
      <c r="AG21" s="978">
        <f t="shared" si="9"/>
        <v>0</v>
      </c>
      <c r="AH21" s="979">
        <f t="shared" si="9"/>
        <v>0</v>
      </c>
      <c r="AI21" s="977">
        <f t="shared" si="9"/>
        <v>0</v>
      </c>
      <c r="AJ21" s="967">
        <f t="shared" si="9"/>
        <v>584</v>
      </c>
      <c r="AK21" s="967">
        <f t="shared" si="9"/>
        <v>2880</v>
      </c>
      <c r="AL21" s="967">
        <f t="shared" si="9"/>
        <v>0</v>
      </c>
      <c r="AM21" s="980">
        <f t="shared" si="9"/>
        <v>0</v>
      </c>
      <c r="AN21" s="970">
        <f>IF(ISNUMBER(Datos!K21/Datos!J21),Datos!K21/Datos!J21," - ")</f>
        <v>0.883531746031746</v>
      </c>
      <c r="AO21" s="970">
        <f>IF(ISNUMBER(FIND("06",Criterios!A8,1)),(IF(ISNUMBER(((Datos!R21/Datos!Q21)*11)/factor_trimestre),((Datos!R21/Datos!Q21)*11)/factor_trimestre," - ")),(IF(ISNUMBER(((Datos!L21/Datos!K21)*11)/factor_trimestre),((Datos!L21/Datos!K21)*11)/factor_trimestre," - ")))</f>
        <v>5.6793173141702225</v>
      </c>
      <c r="AP21" s="981" t="str">
        <f>IF(ISNUMBER(Datos!CI21/Datos!CJ21),Datos!CI21/Datos!CJ21," - ")</f>
        <v xml:space="preserve"> - </v>
      </c>
      <c r="AQ21" s="981">
        <f>IF(OR(ISNUMBER(FIND("01",Criterios!A8,1)),ISNUMBER(FIND("02",Criterios!A8,1)),ISNUMBER(FIND("03",Criterios!A8,1)),ISNUMBER(FIND("04",Criterios!A8,1))),(J21-Y21+K21)/(F21-K21),(I21-Y21+K21)/(F21-K21))</f>
        <v>-1.9456869009584665</v>
      </c>
      <c r="AR21" s="981">
        <f>IF(ISNUMBER((Datos!P21-Datos!Q21+O21)/(Datos!R21-Datos!P21+Datos!Q21-O21)),(Datos!P21-Datos!Q21+O21)/(Datos!R21-Datos!P21+Datos!Q21-O21)," - ")</f>
        <v>3.0237305435059963E-2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474.66666666666669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570.0001754385695</v>
      </c>
      <c r="G23" s="601">
        <f>IF(ISNUMBER(STDEV(G8:G20)),STDEV(G8:G20),"-")</f>
        <v>550.96448766382991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153.55222471291555</v>
      </c>
      <c r="AK23" s="257"/>
      <c r="AL23" s="257">
        <f>IF(ISNUMBER(STDEV(AL8:AL20)),STDEV(AL8:AL20),"-")</f>
        <v>0</v>
      </c>
      <c r="AM23" s="259">
        <f>IF(ISNUMBER(STDEV(AM8:AM20)),STDEV(AM8:AM20),"-")</f>
        <v>0</v>
      </c>
      <c r="AN23" s="587">
        <f>IF(ISNUMBER(STDEV(AN8:AN20)),STDEV(AN8:AN20),"-")</f>
        <v>0</v>
      </c>
      <c r="AO23" s="588">
        <f>IF(ISNUMBER(STDEV(AO8:AO20)),STDEV(AO8:AO20),"-")</f>
        <v>4.9827599715821176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V5TR2Vx69RbPxkBb2/pTrJTCOBAfPliRxiJVWCa+auLsx6Gh7GbKAYCwrAM7YiAkf/wQWL+G7zKp3ftw6hXlw==" saltValue="SXxsy8QrKtRSJhqDq7V4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NKO7tCrod1oA11/jTwxcWkRiElaHrEIhyKpXYVUG7/tQWmFuEGbx7r+6OwAwuChsYOhRewuWTQpNXte5hI+w==" saltValue="zaYIoCq9cm0fk31x0iPJ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yZgV2mxI3IbwqsurOh3InvkgYNgmwyVi9wwiSk4o9wY9J2vk+A+bvFo2U477P1Py8q2VSAaOJPEKKdG0AAtlw==" saltValue="Qdi3/aKRy1p9f3xY17MA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TORREJON DE ARDOZ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0.1451473136915078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0.10263464978227618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XPVxn69hYGMUOdnXkIabEhJ1HqRaa4K09UK6Tzlb1UJaFaG2739u4NmvSG94UcYh/xF8ynFGThk2KngfBtQtA==" saltValue="T/oLAuq1n5GEIUgw4I8B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TsykX19L42FM+MXnCx6yDAsu19TTE3+vvqWTndqlY0Ez7lOnY68yM+fY1Ybp7hGdk1pR6RquYUr+iWktTf6QoQ==" saltValue="PFpDM7LxchvVgdxea31d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TORREJON DE ARDOZ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6597</v>
      </c>
      <c r="D9" s="416">
        <f>IF(ISNUMBER(C9/Datos!BH9),C9/Datos!BH9," - ")</f>
        <v>1099.5</v>
      </c>
      <c r="E9" s="415">
        <f>IF(ISNUMBER(IF(J_V="SI",Datos!J9,Datos!J9+Datos!Z9)),IF(J_V="SI",Datos!J9,Datos!J9+Datos!Z9)," - ")</f>
        <v>2894</v>
      </c>
      <c r="F9" s="416">
        <f>IF(ISNUMBER(E9/B9),E9/B9," - ")</f>
        <v>482.33333333333331</v>
      </c>
      <c r="G9" s="415">
        <f>IF(ISNUMBER(IF(J_V="SI",Datos!K9,Datos!K9+Datos!AA9)),IF(J_V="SI",Datos!K9,Datos!K9+Datos!AA9)," - ")</f>
        <v>2274</v>
      </c>
      <c r="H9" s="416">
        <f>IF(ISNUMBER(G9/B9),G9/B9," - ")</f>
        <v>379</v>
      </c>
      <c r="I9" s="415">
        <f>IF(ISNUMBER(IF(J_V="SI",Datos!L9,Datos!L9+Datos!AB9)),IF(J_V="SI",Datos!L9,Datos!L9+Datos!AB9)," - ")</f>
        <v>7229</v>
      </c>
      <c r="J9" s="416">
        <f>IF(ISNUMBER(I9/B9),I9/B9," - ")</f>
        <v>1204.8333333333333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125</v>
      </c>
      <c r="D10" s="416">
        <f>IF(ISNUMBER(C10/Datos!BH10),C10/Datos!BH10," - ")</f>
        <v>125</v>
      </c>
      <c r="E10" s="415">
        <f>IF(ISNUMBER(Datos!J10),Datos!J10," - ")</f>
        <v>40</v>
      </c>
      <c r="F10" s="416">
        <f>IF(ISNUMBER(E10/B10),E10/B10," - ")</f>
        <v>40</v>
      </c>
      <c r="G10" s="415">
        <f>IF(ISNUMBER(Datos!K10),Datos!K10," - ")</f>
        <v>33</v>
      </c>
      <c r="H10" s="416">
        <f>IF(ISNUMBER(G10/B10),G10/B10," - ")</f>
        <v>33</v>
      </c>
      <c r="I10" s="415">
        <f>IF(ISNUMBER(Datos!L10),Datos!L10," - ")</f>
        <v>132</v>
      </c>
      <c r="J10" s="416">
        <f>IF(ISNUMBER(I10/B10),I10/B10," - ")</f>
        <v>132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0</v>
      </c>
      <c r="D12" s="416" t="str">
        <f>IF(ISNUMBER(C12/Datos!BH12),C12/Datos!BH12," - ")</f>
        <v xml:space="preserve"> - </v>
      </c>
      <c r="E12" s="415">
        <f>IF(ISNUMBER(IF(J_V="SI",Datos!J12,Datos!J12+Datos!Z12)),IF(J_V="SI",Datos!J12,Datos!J12+Datos!Z12)," - ")</f>
        <v>1</v>
      </c>
      <c r="F12" s="416" t="str">
        <f>IF(ISNUMBER(E12/B12),E12/B12," - ")</f>
        <v xml:space="preserve"> - </v>
      </c>
      <c r="G12" s="415">
        <f>IF(ISNUMBER(IF(J_V="SI",Datos!K12,Datos!K12+Datos!AA12)),IF(J_V="SI",Datos!K12,Datos!K12+Datos!AA12)," - ")</f>
        <v>1</v>
      </c>
      <c r="H12" s="416" t="str">
        <f>IF(ISNUMBER(G12/B12),G12/B12," - ")</f>
        <v xml:space="preserve"> - </v>
      </c>
      <c r="I12" s="415">
        <f>IF(ISNUMBER(IF(J_V="SI",Datos!L12,Datos!L12+Datos!AB12)),IF(J_V="SI",Datos!L12,Datos!L12+Datos!AB12)," - ")</f>
        <v>0</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6722</v>
      </c>
      <c r="D14" s="997" t="str">
        <f>IF(ISNUMBER(C14/Datos!BI14),C14/Datos!BI14," - ")</f>
        <v xml:space="preserve"> - </v>
      </c>
      <c r="E14" s="996">
        <f>SUBTOTAL(9,E8:E13)</f>
        <v>2935</v>
      </c>
      <c r="F14" s="997">
        <f>IF(ISNUMBER(E14/B14),E14/B14," - ")</f>
        <v>419.28571428571428</v>
      </c>
      <c r="G14" s="996">
        <f>SUBTOTAL(9,G8:G13)</f>
        <v>2308</v>
      </c>
      <c r="H14" s="997">
        <f>IF(ISNUMBER(G14/B14),G14/B14," - ")</f>
        <v>329.71428571428572</v>
      </c>
      <c r="I14" s="996">
        <f>SUBTOTAL(9,I8:I13)</f>
        <v>7361</v>
      </c>
      <c r="J14" s="997">
        <f>IF(ISNUMBER(I14/B14),I14/B14," - ")</f>
        <v>1051.5714285714287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1044</v>
      </c>
      <c r="D16" s="416">
        <f>IF(ISNUMBER(C16/Datos!BH16),C16/Datos!BH16," - ")</f>
        <v>261</v>
      </c>
      <c r="E16" s="415">
        <f>IF(ISNUMBER(IF(D_I="SI",Datos!J16,Datos!J16+Datos!AD16)),IF(D_I="SI",Datos!J16,Datos!J16+Datos!AD16)," - ")</f>
        <v>2053</v>
      </c>
      <c r="F16" s="416">
        <f>IF(ISNUMBER(E16/B16),E16/B16," - ")</f>
        <v>513.25</v>
      </c>
      <c r="G16" s="415">
        <f>IF(ISNUMBER(IF(D_I="SI",Datos!K16,Datos!K16+Datos!AE16)),IF(D_I="SI",Datos!K16,Datos!K16+Datos!AE16)," - ")</f>
        <v>2046</v>
      </c>
      <c r="H16" s="416">
        <f>IF(ISNUMBER(G16/B16),G16/B16," - ")</f>
        <v>511.5</v>
      </c>
      <c r="I16" s="415">
        <f>IF(ISNUMBER(IF(D_I="SI",Datos!L16,Datos!L16+Datos!AF16)),IF(D_I="SI",Datos!L16,Datos!L16+Datos!AF16)," - ")</f>
        <v>1126</v>
      </c>
      <c r="J16" s="416">
        <f>IF(ISNUMBER(I16/B16),I16/B16," - ")</f>
        <v>281.5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8</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8</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247</v>
      </c>
      <c r="D18" s="416">
        <f>IF(ISNUMBER(C18/Datos!BH18),C18/Datos!BH18," - ")</f>
        <v>247</v>
      </c>
      <c r="E18" s="415">
        <f>IF(ISNUMBER(IF(D_I="SI",Datos!J18,Datos!J18+Datos!AD18)),IF(D_I="SI",Datos!J18,Datos!J18+Datos!AD18)," - ")</f>
        <v>302</v>
      </c>
      <c r="F18" s="416">
        <f>IF(ISNUMBER(E18/B18),E18/B18," - ")</f>
        <v>302</v>
      </c>
      <c r="G18" s="415">
        <f>IF(ISNUMBER(IF(D_I="SI",Datos!K18,Datos!K18+Datos!AE18)),IF(D_I="SI",Datos!K18,Datos!K18+Datos!AE18)," - ")</f>
        <v>357</v>
      </c>
      <c r="H18" s="416">
        <f>IF(ISNUMBER(G18/B18),G18/B18," - ")</f>
        <v>357</v>
      </c>
      <c r="I18" s="415">
        <f>IF(ISNUMBER(IF(D_I="SI",Datos!L18,Datos!L18+Datos!AF18)),IF(D_I="SI",Datos!L18,Datos!L18+Datos!AF18)," - ")</f>
        <v>195</v>
      </c>
      <c r="J18" s="416">
        <f>IF(ISNUMBER(I18/B18),I18/B18," - ")</f>
        <v>195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1299</v>
      </c>
      <c r="D20" s="997" t="str">
        <f>IF(ISNUMBER(C20/Datos!BI20),C20/Datos!BI20," - ")</f>
        <v xml:space="preserve"> - </v>
      </c>
      <c r="E20" s="996">
        <f>SUBTOTAL(9,E15:E19)</f>
        <v>2355</v>
      </c>
      <c r="F20" s="997">
        <f>IF(ISNUMBER(E20/B20),E20/B20," - ")</f>
        <v>471</v>
      </c>
      <c r="G20" s="996">
        <f>SUBTOTAL(9,G15:G19)</f>
        <v>2403</v>
      </c>
      <c r="H20" s="997">
        <f>IF(ISNUMBER(G20/B20),G20/B20," - ")</f>
        <v>480.6</v>
      </c>
      <c r="I20" s="996">
        <f>SUBTOTAL(9,I15:I19)</f>
        <v>1329</v>
      </c>
      <c r="J20" s="997">
        <f>IF(ISNUMBER(I20/B20),I20/B20," - ")</f>
        <v>265.8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8021</v>
      </c>
      <c r="D21" s="942" t="str">
        <f>IF(ISNUMBER(C21/Datos!BI21),C21/Datos!BI21," - ")</f>
        <v xml:space="preserve"> - </v>
      </c>
      <c r="E21" s="941">
        <f>SUBTOTAL(9,E9:E20)</f>
        <v>5290</v>
      </c>
      <c r="F21" s="942">
        <f>IF(ISNUMBER(E21/B21),E21/B21," - ")</f>
        <v>480.90909090909093</v>
      </c>
      <c r="G21" s="941">
        <f>SUBTOTAL(9,G9:G20)</f>
        <v>4711</v>
      </c>
      <c r="H21" s="942">
        <f>IF(ISNUMBER(G21/B21),G21/B21," - ")</f>
        <v>428.27272727272725</v>
      </c>
      <c r="I21" s="941">
        <f>SUBTOTAL(9,I9:I20)</f>
        <v>8690</v>
      </c>
      <c r="J21" s="942">
        <f>IF(ISNUMBER(I21/B21),I21/B21," - ")</f>
        <v>790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Efu2Zu4pnah09LKoTJ6jhwc2Wf9kD9oZV+jRx6MMo+j3itauhMOki6zVYvPOoUlixHepStMJiWjGUdqx8WwyQ==" saltValue="3fD8yFCMYVQcuivLrA/rF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TORREJON DE ARDOZ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125</v>
      </c>
      <c r="G10" s="803">
        <f>IF(ISNUMBER(Datos!I10),Datos!I10," - ")</f>
        <v>125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33</v>
      </c>
      <c r="AC10" s="802" t="str">
        <f>IF(ISNUMBER(IF(D_I="SI",DatosP!K18,DatosP!K18+DatosP!AE18)),IF(D_I="SI",DatosP!K18,DatosP!K18+DatosP!AE18)," - ")</f>
        <v xml:space="preserve"> - </v>
      </c>
      <c r="AD10" s="804"/>
      <c r="AE10" s="804"/>
      <c r="AF10" s="807">
        <f>IF(ISNUMBER(Datos!L10),Datos!L10,"-")</f>
        <v>132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24</v>
      </c>
      <c r="AN10" s="811">
        <f>IF(ISNUMBER(Datos!BW10+DatosP!BW18),Datos!BW10+DatosP!BW18," - ")</f>
        <v>0</v>
      </c>
      <c r="AO10" s="812">
        <f>IF(ISNUMBER(Datos!BX10+DatosP!BX18),Datos!BX10+DatosP!BX18," - ")</f>
        <v>0</v>
      </c>
      <c r="AP10" s="814">
        <f>IF(ISNUMBER(((Datos!L10/Datos!K10)*11)/factor_trimestre),((Datos!L10/Datos!K10)*11)/factor_trimestre," - ")</f>
        <v>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0</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-3.6876355748373099E-2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125</v>
      </c>
      <c r="G14" s="1085">
        <f t="shared" si="0"/>
        <v>125</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33</v>
      </c>
      <c r="AC14" s="1086">
        <f t="shared" si="1"/>
        <v>0</v>
      </c>
      <c r="AD14" s="1086">
        <f t="shared" si="1"/>
        <v>17</v>
      </c>
      <c r="AE14" s="1086">
        <f t="shared" si="1"/>
        <v>0</v>
      </c>
      <c r="AF14" s="1086">
        <f t="shared" si="1"/>
        <v>132</v>
      </c>
      <c r="AG14" s="1086">
        <f t="shared" si="1"/>
        <v>0</v>
      </c>
      <c r="AH14" s="1086">
        <f t="shared" si="1"/>
        <v>444</v>
      </c>
      <c r="AI14" s="1086">
        <f t="shared" si="1"/>
        <v>0</v>
      </c>
      <c r="AJ14" s="1086">
        <f t="shared" si="1"/>
        <v>0</v>
      </c>
      <c r="AK14" s="1086">
        <f t="shared" si="1"/>
        <v>0</v>
      </c>
      <c r="AL14" s="1086">
        <f t="shared" si="1"/>
        <v>5</v>
      </c>
      <c r="AM14" s="1086">
        <f t="shared" si="1"/>
        <v>26</v>
      </c>
      <c r="AN14" s="1086">
        <f t="shared" si="1"/>
        <v>0</v>
      </c>
      <c r="AO14" s="1086">
        <f t="shared" si="1"/>
        <v>0</v>
      </c>
      <c r="AP14" s="1091">
        <f>IF(ISNUMBER(((Datos!L14/Datos!K14)*11)/factor_trimestre),((Datos!L14/Datos!K14)*11)/factor_trimestre," - ")</f>
        <v>10.391707317073172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-0.26400000000000001</v>
      </c>
      <c r="AU14" s="1086" t="str">
        <f>IF(ISNUMBER((DatosP!#REF!-DatosP!#REF!+DatosP!#REF!)/(DatosP!#REF!+DatosP!#REF!-DatosP!#REF!-DatosP!#REF!)),(DatosP!#REF!-DatosP!#REF!+DatosP!#REF!)/(DatosP!#REF!+DatosP!#REF!-DatosP!#REF!-DatosP!#REF!)," - ")</f>
        <v xml:space="preserve"> - </v>
      </c>
      <c r="AV14" s="1092">
        <f>SUBTOTAL(9,AV9:AV13)</f>
        <v>-3.6876355748373099E-2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1.6591760299625469</v>
      </c>
      <c r="AQ20" s="1091">
        <f>IF(ISNUMBER(((Datos!M20/Datos!L20)*11)/factor_trimestre),((Datos!M20/Datos!L20)*11)/factor_trimestre," - ")</f>
        <v>0.56207674943566588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0.11886304909560723</v>
      </c>
      <c r="AW20" s="1093">
        <f>IF(ISNUMBER((Datos!Q20-Datos!R20)/(Datos!S20-Datos!Q20+Datos!R20)),(Datos!Q20-Datos!R20)/(Datos!S20-Datos!Q20+Datos!R20)," - ")</f>
        <v>-0.2335680751173709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125</v>
      </c>
      <c r="G21" s="1098">
        <f t="shared" si="4"/>
        <v>125</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33</v>
      </c>
      <c r="AC21" s="1104">
        <f t="shared" si="5"/>
        <v>0</v>
      </c>
      <c r="AD21" s="1104">
        <f t="shared" si="5"/>
        <v>17</v>
      </c>
      <c r="AE21" s="1104">
        <f t="shared" si="5"/>
        <v>0</v>
      </c>
      <c r="AF21" s="1105">
        <f t="shared" si="5"/>
        <v>132</v>
      </c>
      <c r="AG21" s="1105">
        <f t="shared" si="5"/>
        <v>0</v>
      </c>
      <c r="AH21" s="1105">
        <f t="shared" si="5"/>
        <v>444</v>
      </c>
      <c r="AI21" s="1105">
        <f t="shared" si="5"/>
        <v>0</v>
      </c>
      <c r="AJ21" s="1106">
        <f t="shared" si="5"/>
        <v>0</v>
      </c>
      <c r="AK21" s="1106">
        <f t="shared" si="5"/>
        <v>0</v>
      </c>
      <c r="AL21" s="1098">
        <f t="shared" si="5"/>
        <v>5</v>
      </c>
      <c r="AM21" s="1098">
        <f t="shared" si="5"/>
        <v>26</v>
      </c>
      <c r="AN21" s="1098">
        <f t="shared" si="5"/>
        <v>0</v>
      </c>
      <c r="AO21" s="1098">
        <f t="shared" si="5"/>
        <v>0</v>
      </c>
      <c r="AP21" s="1098">
        <f>IF(ISNUMBER(((Datos!L21/Datos!K21)*11)/factor_trimestre),((Datos!L21/Datos!K21)*11)/factor_trimestre," - ")</f>
        <v>5.6793173141702225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-0.26400000000000001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3.0237305435059963E-2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83.333333333333329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72.168783648703226</v>
      </c>
      <c r="G23" s="871">
        <f>IF(ISNUMBER(STDEV(G8:G20)),STDEV(G8:G20),"-")</f>
        <v>72.168783648703226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19.05255888325765</v>
      </c>
      <c r="AC23" s="872">
        <f>IF(ISNUMBER(STDEV(AC8:AC20)),STDEV(AC8:AC20),"-")</f>
        <v>0</v>
      </c>
      <c r="AD23" s="875"/>
      <c r="AE23" s="875"/>
      <c r="AF23" s="875"/>
      <c r="AG23" s="875"/>
      <c r="AH23" s="875"/>
      <c r="AI23" s="875"/>
      <c r="AJ23" s="876">
        <f>IF(ISNUMBER(STDEV(AJ8:AJ20)),STDEV(AJ8:AJ20),"-")</f>
        <v>0</v>
      </c>
      <c r="AK23" s="878"/>
      <c r="AL23" s="870">
        <f>IF(ISNUMBER(STDEV(AL8:AL20)),STDEV(AL8:AL20),"-")</f>
        <v>2.8867513459481291</v>
      </c>
      <c r="AM23" s="870"/>
      <c r="AN23" s="870">
        <f>IF(ISNUMBER(STDEV(AN8:AN20)),STDEV(AN8:AN20),"-")</f>
        <v>0</v>
      </c>
      <c r="AO23" s="876">
        <f>IF(ISNUMBER(STDEV(AO8:AO20)),STDEV(AO8:AO20),"-")</f>
        <v>0</v>
      </c>
      <c r="AP23" s="923">
        <f>IF(ISNUMBER(STDEV(AP8:AP20)),STDEV(AP8:AP20),"-")</f>
        <v>6.0588557395747689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rsYvuaX39W2V1sBH1lbAMwp640hsIG0zrKC40y4L4FgR4IqjA45nzNoL6XGtSaHDuVGZXfUj+TI8qbb2Wk6ig==" saltValue="h6PaP3OLFgomUO42un84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TORREJON DE ARDOZ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IR/vWMM27A1ROi2KFkltFBGR5hMFtyTnljYKOLkxt34iU1xETno1K6eKmxwVB9GoUnCCMHLP55Y7k8p/fEnUQ==" saltValue="qUNTLj5voNXbAeObjqjE4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TORREJON DE ARDOZ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330</v>
      </c>
      <c r="E9" s="416">
        <f t="shared" ref="E9:E14" si="0">IF(ISNUMBER(D9/B9),D9/B9," - ")</f>
        <v>55</v>
      </c>
      <c r="F9" s="415">
        <f>IF(ISNUMBER(Datos!N9),Datos!N9," - ")</f>
        <v>1418</v>
      </c>
      <c r="G9" s="416">
        <f t="shared" ref="G9:G14" si="1">IF(ISNUMBER(F9/B9),F9/B9," - ")</f>
        <v>236.33333333333334</v>
      </c>
      <c r="H9" s="415">
        <f>IF(ISNUMBER(Datos!O9),Datos!O9," - ")</f>
        <v>659</v>
      </c>
      <c r="I9" s="416">
        <f>IF(ISNUMBER(H9/B9),H9/B9," - ")</f>
        <v>109.83333333333333</v>
      </c>
    </row>
    <row r="10" spans="1:9">
      <c r="A10" s="414" t="str">
        <f>Datos!A10</f>
        <v>Jdos. Violencia contra la mujer</v>
      </c>
      <c r="B10" s="444">
        <f>Datos!AO10</f>
        <v>1</v>
      </c>
      <c r="C10" s="422">
        <f>Datos!AQ10</f>
        <v>1</v>
      </c>
      <c r="D10" s="415">
        <f>IF(ISNUMBER(Datos!M10),Datos!M10," - ")</f>
        <v>5</v>
      </c>
      <c r="E10" s="416">
        <f>IF(ISNUMBER(D10/B10),D10/B10," - ")</f>
        <v>5</v>
      </c>
      <c r="F10" s="415">
        <f>IF(ISNUMBER(Datos!N10),Datos!N10," - ")</f>
        <v>24</v>
      </c>
      <c r="G10" s="416">
        <f>IF(ISNUMBER(F10/B10),F10/B10," - ")</f>
        <v>24</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2</v>
      </c>
      <c r="G12" s="416" t="str">
        <f t="shared" si="1"/>
        <v xml:space="preserve"> - </v>
      </c>
      <c r="H12" s="415">
        <f>IF(ISNUMBER(Datos!O12),Datos!O12," - ")</f>
        <v>3</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335</v>
      </c>
      <c r="E14" s="997">
        <f t="shared" si="0"/>
        <v>47.857142857142854</v>
      </c>
      <c r="F14" s="996">
        <f>SUBTOTAL(9,F9:F13)</f>
        <v>1444</v>
      </c>
      <c r="G14" s="997">
        <f t="shared" si="1"/>
        <v>206.28571428571428</v>
      </c>
      <c r="H14" s="996">
        <f>SUBTOTAL(9,H9:H13)</f>
        <v>664</v>
      </c>
      <c r="I14" s="997">
        <f>IF(ISNUMBER(H14/B14),H14/B14," - ")</f>
        <v>94.857142857142861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228</v>
      </c>
      <c r="E16" s="416">
        <f t="shared" ref="E16:E20" si="3">IF(ISNUMBER(D16/B16),D16/B16," - ")</f>
        <v>57</v>
      </c>
      <c r="F16" s="415">
        <f>IF(ISNUMBER(Datos!N16),Datos!N16," - ")</f>
        <v>1234</v>
      </c>
      <c r="G16" s="416">
        <f t="shared" ref="G16:G20" si="4">IF(ISNUMBER(F16/B16),F16/B16," - ")</f>
        <v>308.5</v>
      </c>
      <c r="H16" s="415">
        <f>IF(ISNUMBER(Datos!O16),Datos!O16," - ")</f>
        <v>18</v>
      </c>
      <c r="I16" s="416">
        <f t="shared" ref="I16:I19" si="5">IF(ISNUMBER(H16/B16),H16/B16," - ")</f>
        <v>4.5</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21</v>
      </c>
      <c r="E18" s="416">
        <f>IF(ISNUMBER(D18/B18),D18/B18," - ")</f>
        <v>21</v>
      </c>
      <c r="F18" s="415">
        <f>IF(ISNUMBER(Datos!N18),Datos!N18," - ")</f>
        <v>202</v>
      </c>
      <c r="G18" s="416">
        <f>IF(ISNUMBER(F18/B18),F18/B18," - ")</f>
        <v>202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249</v>
      </c>
      <c r="E20" s="997">
        <f t="shared" si="3"/>
        <v>49.8</v>
      </c>
      <c r="F20" s="996">
        <f>SUBTOTAL(9,F16:F19)</f>
        <v>1436</v>
      </c>
      <c r="G20" s="997">
        <f t="shared" si="4"/>
        <v>287.2</v>
      </c>
      <c r="H20" s="996">
        <f>SUBTOTAL(9,H16:H19)</f>
        <v>18</v>
      </c>
      <c r="I20" s="997">
        <f>IF(ISNUMBER(H20/B20),H20/B20," - ")</f>
        <v>3.6</v>
      </c>
    </row>
    <row r="21" spans="1:9" ht="14.25" thickTop="1" thickBot="1">
      <c r="A21" s="940" t="str">
        <f>Datos!A21</f>
        <v>TOTAL JURISDICCIONES</v>
      </c>
      <c r="B21" s="941">
        <f>Datos!AP21</f>
        <v>11</v>
      </c>
      <c r="C21" s="941">
        <f>Datos!AR21</f>
        <v>11</v>
      </c>
      <c r="D21" s="941">
        <f>SUBTOTAL(9,D8:D20)</f>
        <v>584</v>
      </c>
      <c r="E21" s="942">
        <f>IF(ISNUMBER(D21/B21),D21/B21," - ")</f>
        <v>53.090909090909093</v>
      </c>
      <c r="F21" s="941">
        <f>SUBTOTAL(9,F8:F20)</f>
        <v>2880</v>
      </c>
      <c r="G21" s="942">
        <f>IF(ISNUMBER(F21/B21),F21/B21," - ")</f>
        <v>261.81818181818181</v>
      </c>
      <c r="H21" s="941">
        <f>SUBTOTAL(9,H8:H20)</f>
        <v>682</v>
      </c>
      <c r="I21" s="942">
        <f>IF(ISNUMBER(H21/B21),H21/B21," - ")</f>
        <v>62</v>
      </c>
    </row>
    <row r="24" spans="1:9">
      <c r="A24" s="403" t="str">
        <f>Criterios!A4</f>
        <v>Fecha Informe: 06 jun. 2023</v>
      </c>
    </row>
    <row r="29" spans="1:9">
      <c r="A29" s="426"/>
    </row>
  </sheetData>
  <sheetProtection algorithmName="SHA-512" hashValue="RqZfsEuBXBgNrCMBuwAE6UNidr0sy3C/S5MlXdE9u13nSM4tZMjE4WqLWUWNZf/Ol0Ob7DW6npUAv37kEb9G2w==" saltValue="4wKXW+qjHeQLuZsX9212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TORREJON DE ARDOZ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505</v>
      </c>
      <c r="C9" s="451">
        <f>IF(ISNUMBER(Datos!Q9),Datos!Q9," - ")</f>
        <v>297</v>
      </c>
      <c r="D9" s="420">
        <f>IF(ISNUMBER(Datos!R9),Datos!R9," - ")</f>
        <v>7122</v>
      </c>
    </row>
    <row r="10" spans="1:4">
      <c r="A10" s="414" t="str">
        <f>Datos!A10</f>
        <v>Jdos. Violencia contra la mujer</v>
      </c>
      <c r="B10" s="450">
        <f>IF(ISNUMBER(Datos!P10),Datos!P10," - ")</f>
        <v>4</v>
      </c>
      <c r="C10" s="451">
        <f>IF(ISNUMBER(Datos!Q10),Datos!Q10," - ")</f>
        <v>4</v>
      </c>
      <c r="D10" s="420">
        <f>IF(ISNUMBER(Datos!R10),Datos!R10," - ")</f>
        <v>76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17</v>
      </c>
      <c r="D12" s="420">
        <f>IF(ISNUMBER(Datos!R12),Datos!R12," - ")</f>
        <v>444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509</v>
      </c>
      <c r="C14" s="1000">
        <f>SUBTOTAL(9,C9:C13)</f>
        <v>318</v>
      </c>
      <c r="D14" s="998">
        <f>SUBTOTAL(9,D9:D13)</f>
        <v>7642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80</v>
      </c>
      <c r="C16" s="451">
        <f>IF(ISNUMBER(Datos!Q16),Datos!Q16," - ")</f>
        <v>33</v>
      </c>
      <c r="D16" s="420">
        <f>IF(ISNUMBER(Datos!R16),Datos!R16," - ")</f>
        <v>428</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1</v>
      </c>
      <c r="C18" s="451">
        <f>IF(ISNUMBER(Datos!Q18),Datos!Q18," - ")</f>
        <v>2</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81</v>
      </c>
      <c r="C20" s="1000">
        <f>SUBTOTAL(9,C16:C19)</f>
        <v>35</v>
      </c>
      <c r="D20" s="998">
        <f>SUBTOTAL(9,D16:D19)</f>
        <v>433</v>
      </c>
    </row>
    <row r="21" spans="1:4" ht="16.5" customHeight="1" thickTop="1" thickBot="1">
      <c r="A21" s="940" t="str">
        <f>Datos!A21</f>
        <v>TOTAL JURISDICCIONES</v>
      </c>
      <c r="B21" s="945">
        <f>SUBTOTAL(9,B8:B20)</f>
        <v>590</v>
      </c>
      <c r="C21" s="946">
        <f>SUBTOTAL(9,C8:C20)</f>
        <v>353</v>
      </c>
      <c r="D21" s="947">
        <f>SUBTOTAL(9,D8:D20)</f>
        <v>8075</v>
      </c>
    </row>
    <row r="22" spans="1:4" ht="7.5" customHeight="1"/>
    <row r="23" spans="1:4" ht="6" customHeight="1"/>
    <row r="24" spans="1:4">
      <c r="A24" s="403" t="str">
        <f>Criterios!A4</f>
        <v>Fecha Informe: 06 jun. 2023</v>
      </c>
    </row>
    <row r="29" spans="1:4">
      <c r="A29" s="426"/>
    </row>
  </sheetData>
  <sheetProtection algorithmName="SHA-512" hashValue="LDQDAIHdpk5Pg0bi8HBmZe7zS06z7FyhkqZPCkqpHQwrd9ybU2rFzqn1Wwh4Ot4FHnEJJn4V55BvLNvXTuPkjQ==" saltValue="J6OWh1yrIUvCsBKOFV94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TORREJON DE ARDOZ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0.51585477941176472</v>
      </c>
      <c r="C9" s="473">
        <f>IF(ISNUMBER(
   IF(J_V="SI",(Datos!J9-Datos!T9)/Datos!T9,(Datos!J9+Datos!Z9-(Datos!T9+Datos!AH9))/(Datos!T9+Datos!AH9))
     ),IF(J_V="SI",(Datos!J9-Datos!T9)/Datos!T9,(Datos!J9+Datos!Z9-(Datos!T9+Datos!AH9))/(Datos!T9+Datos!AH9))," - ")</f>
        <v>1.4726507713884993E-2</v>
      </c>
      <c r="D9" s="473">
        <f>IF(ISNUMBER(
   IF(J_V="SI",(Datos!K9-Datos!U9)/Datos!U9,(Datos!K9+Datos!AA9-(Datos!U9+Datos!AI9))/(Datos!U9+Datos!AI9))
     ),IF(J_V="SI",(Datos!K9-Datos!U9)/Datos!U9,(Datos!K9+Datos!AA9-(Datos!U9+Datos!AI9))/(Datos!U9+Datos!AI9))," - ")</f>
        <v>-0.29400807202732071</v>
      </c>
      <c r="E9" s="473">
        <f>IF(ISNUMBER(
   IF(J_V="SI",(Datos!L9-Datos!V9)/Datos!V9,(Datos!L9+Datos!AB9-(Datos!V9+Datos!AJ9))/(Datos!V9+Datos!AJ9))
     ),IF(J_V="SI",(Datos!L9-Datos!V9)/Datos!V9,(Datos!L9+Datos!AB9-(Datos!V9+Datos!AJ9))/(Datos!V9+Datos!AJ9))," - ")</f>
        <v>0.56743278404163056</v>
      </c>
      <c r="F9" s="473">
        <f>IF(ISNUMBER((Datos!M9-Datos!W9)/Datos!W9),(Datos!M9-Datos!W9)/Datos!W9," - ")</f>
        <v>-0.375</v>
      </c>
      <c r="G9" s="474">
        <f>IF(ISNUMBER((Datos!N9-Datos!X9)/Datos!X9),(Datos!N9-Datos!X9)/Datos!X9," - ")</f>
        <v>-0.22934782608695653</v>
      </c>
      <c r="H9" s="472">
        <f>IF(ISNUMBER(((NºAsuntos!G9/NºAsuntos!E9)-Datos!BD9)/Datos!BD9),((NºAsuntos!G9/NºAsuntos!E9)-Datos!BD9)/Datos!BD9," - ")</f>
        <v>-0.30425398114095331</v>
      </c>
      <c r="I9" s="473">
        <f>IF(ISNUMBER(((NºAsuntos!I9/NºAsuntos!G9)-Datos!BE9)/Datos!BE9),((NºAsuntos!I9/NºAsuntos!G9)-Datos!BE9)/Datos!BE9," - ")</f>
        <v>1.2201851351794599</v>
      </c>
      <c r="J9" s="478">
        <f>IF(ISNUMBER((('Resol  Asuntos'!D9/NºAsuntos!G9)-Datos!BF9)/Datos!BF9),(('Resol  Asuntos'!D9/NºAsuntos!G9)-Datos!BF9)/Datos!BF9," - ")</f>
        <v>-0.74596334748193183</v>
      </c>
      <c r="K9" s="479">
        <f>IF(ISNUMBER((((NºAsuntos!C9+NºAsuntos!E9)/NºAsuntos!G9)-Datos!BG9)/Datos!BG9),(((NºAsuntos!C9+NºAsuntos!E9)/NºAsuntos!G9)-Datos!BG9)/Datos!BG9," - ")</f>
        <v>0.86611555829679332</v>
      </c>
    </row>
    <row r="10" spans="1:11">
      <c r="A10" s="414" t="str">
        <f>Datos!A10</f>
        <v>Jdos. Violencia contra la mujer</v>
      </c>
      <c r="B10" s="472">
        <f>IF(ISNUMBER((Datos!I10-Datos!S10)/Datos!S10),(Datos!I10-Datos!S10)/Datos!S10," - ")</f>
        <v>0.12612612612612611</v>
      </c>
      <c r="C10" s="473">
        <f>IF(ISNUMBER((Datos!J10-Datos!T10)/Datos!T10),(Datos!J10-Datos!T10)/Datos!T10," - ")</f>
        <v>-0.25925925925925924</v>
      </c>
      <c r="D10" s="473">
        <f>IF(ISNUMBER((Datos!K10-Datos!U10)/Datos!U10),(Datos!K10-Datos!U10)/Datos!U10," - ")</f>
        <v>-0.13157894736842105</v>
      </c>
      <c r="E10" s="473">
        <f>IF(ISNUMBER((Datos!L10-Datos!V10)/Datos!V10),(Datos!L10-Datos!V10)/Datos!V10," - ")</f>
        <v>3.937007874015748E-2</v>
      </c>
      <c r="F10" s="473">
        <f>IF(ISNUMBER((Datos!M10-Datos!W10)/Datos!W10),(Datos!M10-Datos!W10)/Datos!W10," - ")</f>
        <v>-0.54545454545454541</v>
      </c>
      <c r="G10" s="474">
        <f>IF(ISNUMBER((Datos!N10-Datos!X10)/Datos!X10),(Datos!N10-Datos!X10)/Datos!X10," - ")</f>
        <v>0.14285714285714285</v>
      </c>
      <c r="H10" s="472">
        <f>IF(ISNUMBER(((NºAsuntos!G10/NºAsuntos!E10)-Datos!BD10)/Datos!BD10),((NºAsuntos!G10/NºAsuntos!E10)-Datos!BD10)/Datos!BD10," - ")</f>
        <v>0.17236842105263148</v>
      </c>
      <c r="I10" s="473">
        <f>IF(ISNUMBER(((NºAsuntos!I10/NºAsuntos!G10)-Datos!BE10)/Datos!BE10),((NºAsuntos!I10/NºAsuntos!G10)-Datos!BE10)/Datos!BE10," - ")</f>
        <v>0.19685039370078741</v>
      </c>
      <c r="J10" s="478">
        <f>IF(ISNUMBER((('Resol  Asuntos'!D10/NºAsuntos!G10)-Datos!BF10)/Datos!BF10),(('Resol  Asuntos'!D10/NºAsuntos!G10)-Datos!BF10)/Datos!BF10," - ")</f>
        <v>-0.47658402203856748</v>
      </c>
      <c r="K10" s="479">
        <f>IF(ISNUMBER((((NºAsuntos!C10+NºAsuntos!E10)/NºAsuntos!G10)-Datos!BG10)/Datos!BG10),(((NºAsuntos!C10+NºAsuntos!E10)/NºAsuntos!G10)-Datos!BG10)/Datos!BG10," - ")</f>
        <v>0.15151515151515152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v>
      </c>
      <c r="C12" s="473" t="str">
        <f>IF(ISNUMBER(
   IF(J_V="SI",(Datos!J12-Datos!T12)/Datos!T12,(Datos!J12+Datos!Z12-(Datos!T12+Datos!AH12))/(Datos!T12+Datos!AH12))
     ),IF(J_V="SI",(Datos!J12-Datos!T12)/Datos!T12,(Datos!J12+Datos!Z12-(Datos!T12+Datos!AH12))/(Datos!T12+Datos!AH12))," - ")</f>
        <v xml:space="preserve"> - </v>
      </c>
      <c r="D12" s="473">
        <f>IF(ISNUMBER(
   IF(J_V="SI",(Datos!K12-Datos!U12)/Datos!U12,(Datos!K12+Datos!AA12-(Datos!U12+Datos!AI12))/(Datos!U12+Datos!AI12))
     ),IF(J_V="SI",(Datos!K12-Datos!U12)/Datos!U12,(Datos!K12+Datos!AA12-(Datos!U12+Datos!AI12))/(Datos!U12+Datos!AI12))," - ")</f>
        <v>-0.5</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f>IF(ISNUMBER((Datos!N12-Datos!X12)/Datos!X12),(Datos!N12-Datos!X12)/Datos!X12," - ")</f>
        <v>1</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f>IF(ISNUMBER((('Resol  Asuntos'!D12/NºAsuntos!G12)-Datos!BF12)/Datos!BF12),(('Resol  Asuntos'!D12/NºAsuntos!G12)-Datos!BF12)/Datos!BF12," - ")</f>
        <v>-1</v>
      </c>
      <c r="K12" s="479">
        <f>IF(ISNUMBER((((NºAsuntos!C12+NºAsuntos!E12)/NºAsuntos!G12)-Datos!BG12)/Datos!BG12),(((NºAsuntos!C12+NºAsuntos!E12)/NºAsuntos!G12)-Datos!BG12)/Datos!BG12," - ")</f>
        <v>0</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0.50548712206047031</v>
      </c>
      <c r="C14" s="1002">
        <f>IF(ISNUMBER(
   IF(J_V="SI",(Datos!J14-Datos!T14)/Datos!T14,(Datos!J14+Datos!Z14-(Datos!T14+Datos!AH14))/(Datos!T14+Datos!AH14))
     ),IF(J_V="SI",(Datos!J14-Datos!T14)/Datos!T14,(Datos!J14+Datos!Z14-(Datos!T14+Datos!AH14))/(Datos!T14+Datos!AH14))," - ")</f>
        <v>9.9793530626290441E-3</v>
      </c>
      <c r="D14" s="1002">
        <f>IF(ISNUMBER(
   IF(J_V="SI",(Datos!K14-Datos!U14)/Datos!U14,(Datos!K14+Datos!AA14-(Datos!U14+Datos!AI14))/(Datos!U14+Datos!AI14))
     ),IF(J_V="SI",(Datos!K14-Datos!U14)/Datos!U14,(Datos!K14+Datos!AA14-(Datos!U14+Datos!AI14))/(Datos!U14+Datos!AI14))," - ")</f>
        <v>-0.29224164366758665</v>
      </c>
      <c r="E14" s="1002">
        <f>IF(ISNUMBER(
   IF(J_V="SI",(Datos!L14-Datos!V14)/Datos!V14,(Datos!L14+Datos!AB14-(Datos!V14+Datos!AJ14))/(Datos!V14+Datos!AJ14))
     ),IF(J_V="SI",(Datos!L14-Datos!V14)/Datos!V14,(Datos!L14+Datos!AB14-(Datos!V14+Datos!AJ14))/(Datos!V14+Datos!AJ14))," - ")</f>
        <v>0.55328128297109092</v>
      </c>
      <c r="F14" s="1003">
        <f>IF(ISNUMBER((Datos!M14-Datos!W14)/Datos!W14),(Datos!M14-Datos!W14)/Datos!W14," - ")</f>
        <v>-0.3784786641929499</v>
      </c>
      <c r="G14" s="1004">
        <f>IF(ISNUMBER((Datos!N14-Datos!X14)/Datos!X14),(Datos!N14-Datos!X14)/Datos!X14," - ")</f>
        <v>-0.22448979591836735</v>
      </c>
      <c r="H14" s="1004">
        <f>IF(ISNUMBER(((NºAsuntos!G14/NºAsuntos!E14)-Datos!BD14)/Datos!BD14),((NºAsuntos!G14/NºAsuntos!E14)-Datos!BD14)/Datos!BD14," - ")</f>
        <v>-0.29923482674548779</v>
      </c>
      <c r="I14" s="1004">
        <f>IF(ISNUMBER(((NºAsuntos!I14/NºAsuntos!G14)-Datos!BE14)/Datos!BE14),((NºAsuntos!I14/NºAsuntos!G14)-Datos!BE14)/Datos!BE14," - ")</f>
        <v>1.1946491610783048</v>
      </c>
      <c r="J14" s="1004">
        <f>IF(ISNUMBER((('Resol  Asuntos'!D14/NºAsuntos!G14)-Datos!BF14)/Datos!BF14),(('Resol  Asuntos'!D14/NºAsuntos!G14)-Datos!BF14)/Datos!BF14," - ")</f>
        <v>-0.74442473544924037</v>
      </c>
      <c r="K14" s="1004">
        <f>IF(ISNUMBER((((NºAsuntos!C14+NºAsuntos!E14)/NºAsuntos!G14)-Datos!BG14)/Datos!BG14),(((NºAsuntos!C14+NºAsuntos!E14)/NºAsuntos!G14)-Datos!BG14)/Datos!BG14," - ")</f>
        <v>0.85110397978682184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6.7502410800385727E-3</v>
      </c>
      <c r="C16" s="473">
        <f>IF(ISNUMBER(
   IF(D_I="SI",(Datos!J16-Datos!T16)/Datos!T16,(Datos!J16+Datos!AD16-(Datos!T16+Datos!AL16))/(Datos!T16+Datos!AL16))
     ),IF(D_I="SI",(Datos!J16-Datos!T16)/Datos!T16,(Datos!J16+Datos!AD16-(Datos!T16+Datos!AL16))/(Datos!T16+Datos!AL16))," - ")</f>
        <v>3.8967611336032389E-2</v>
      </c>
      <c r="D16" s="473">
        <f>IF(ISNUMBER(
   IF(D_I="SI",(Datos!K16-Datos!U16)/Datos!U16,(Datos!K16+Datos!AE16-(Datos!U16+Datos!AM16))/(Datos!U16+Datos!AM16))
     ),IF(D_I="SI",(Datos!K16-Datos!U16)/Datos!U16,(Datos!K16+Datos!AE16-(Datos!U16+Datos!AM16))/(Datos!U16+Datos!AM16))," - ")</f>
        <v>-6.0606060606060608E-2</v>
      </c>
      <c r="E16" s="473">
        <f>IF(ISNUMBER(
   IF(D_I="SI",(Datos!L16-Datos!V16)/Datos!V16,(Datos!L16+Datos!AF16-(Datos!V16+Datos!AN16))/(Datos!V16+Datos!AN16))
     ),IF(D_I="SI",(Datos!L16-Datos!V16)/Datos!V16,(Datos!L16+Datos!AF16-(Datos!V16+Datos!AN16))/(Datos!V16+Datos!AN16))," - ")</f>
        <v>0.28246013667425968</v>
      </c>
      <c r="F16" s="473">
        <f>IF(ISNUMBER((Datos!M16-Datos!W16)/Datos!W16),(Datos!M16-Datos!W16)/Datos!W16," - ")</f>
        <v>-0.18571428571428572</v>
      </c>
      <c r="G16" s="474">
        <f>IF(ISNUMBER((Datos!N16-Datos!X16)/Datos!X16),(Datos!N16-Datos!X16)/Datos!X16," - ")</f>
        <v>-4.0435458786936239E-2</v>
      </c>
      <c r="H16" s="472">
        <f>IF(ISNUMBER(((NºAsuntos!G16/NºAsuntos!E16)-Datos!BD16)/Datos!BD16),((NºAsuntos!G16/NºAsuntos!E16)-Datos!BD16)/Datos!BD16," - ")</f>
        <v>-9.5839052974951738E-2</v>
      </c>
      <c r="I16" s="473">
        <f>IF(ISNUMBER(((NºAsuntos!I16/NºAsuntos!G16)-Datos!BE16)/Datos!BE16),((NºAsuntos!I16/NºAsuntos!G16)-Datos!BE16)/Datos!BE16," - ")</f>
        <v>0.3651995003306634</v>
      </c>
      <c r="J16" s="478">
        <f>IF(ISNUMBER((('Resol  Asuntos'!D16/NºAsuntos!G16)-Datos!BF16)/Datos!BF16),(('Resol  Asuntos'!D16/NºAsuntos!G16)-Datos!BF16)/Datos!BF16," - ")</f>
        <v>-0.13317972350230425</v>
      </c>
      <c r="K16" s="479">
        <f>IF(ISNUMBER((((NºAsuntos!C16+NºAsuntos!E16)/NºAsuntos!G16)-Datos!BG16)/Datos!BG16),(((NºAsuntos!C16+NºAsuntos!E16)/NºAsuntos!G16)-Datos!BG16)/Datos!BG16," - ")</f>
        <v>9.419397663886607E-2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v>
      </c>
      <c r="C17" s="473" t="str">
        <f>IF(ISNUMBER(
   IF(D_I="SI",(Datos!J17-Datos!T17)/Datos!T17,(Datos!J17+Datos!AD17-(Datos!T17+Datos!AL17))/(Datos!T17+Datos!AL17))
     ),IF(D_I="SI",(Datos!J17-Datos!T17)/Datos!T17,(Datos!J17+Datos!AD17-(Datos!T17+Datos!AL17))/(Datos!T17+Datos!AL17))," - ")</f>
        <v xml:space="preserve"> - </v>
      </c>
      <c r="D17" s="473">
        <f>IF(ISNUMBER(
   IF(D_I="SI",(Datos!K17-Datos!U17)/Datos!U17,(Datos!K17+Datos!AE17-(Datos!U17+Datos!AM17))/(Datos!U17+Datos!AM17))
     ),IF(D_I="SI",(Datos!K17-Datos!U17)/Datos!U17,(Datos!K17+Datos!AE17-(Datos!U17+Datos!AM17))/(Datos!U17+Datos!AM17))," - ")</f>
        <v>-1</v>
      </c>
      <c r="E17" s="473">
        <f>IF(ISNUMBER(
   IF(D_I="SI",(Datos!L17-Datos!V17)/Datos!V17,(Datos!L17+Datos!AF17-(Datos!V17+Datos!AN17))/(Datos!V17+Datos!AN17))
     ),IF(D_I="SI",(Datos!L17-Datos!V17)/Datos!V17,(Datos!L17+Datos!AF17-(Datos!V17+Datos!AN17))/(Datos!V17+Datos!AN17))," - ")</f>
        <v>-0.1111111111111111</v>
      </c>
      <c r="F17" s="473" t="str">
        <f>IF(ISNUMBER((Datos!M17-Datos!W17)/Datos!W17),(Datos!M17-Datos!W17)/Datos!W17," - ")</f>
        <v xml:space="preserve"> - </v>
      </c>
      <c r="G17" s="474">
        <f>IF(ISNUMBER((Datos!N17-Datos!X17)/Datos!X17),(Datos!N17-Datos!X17)/Datos!X17," - ")</f>
        <v>-1</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-4.633204633204633E-2</v>
      </c>
      <c r="C18" s="473">
        <f>IF(ISNUMBER(
   IF(D_I="SI",(Datos!J18-Datos!T18)/Datos!T18,(Datos!J18+Datos!AD18-(Datos!T18+Datos!AL18))/(Datos!T18+Datos!AL18))
     ),IF(D_I="SI",(Datos!J18-Datos!T18)/Datos!T18,(Datos!J18+Datos!AD18-(Datos!T18+Datos!AL18))/(Datos!T18+Datos!AL18))," - ")</f>
        <v>-0.25432098765432098</v>
      </c>
      <c r="D18" s="473">
        <f>IF(ISNUMBER(
   IF(D_I="SI",(Datos!K18-Datos!U18)/Datos!U18,(Datos!K18+Datos!AE18-(Datos!U18+Datos!AM18))/(Datos!U18+Datos!AM18))
     ),IF(D_I="SI",(Datos!K18-Datos!U18)/Datos!U18,(Datos!K18+Datos!AE18-(Datos!U18+Datos!AM18))/(Datos!U18+Datos!AM18))," - ")</f>
        <v>-0.16393442622950818</v>
      </c>
      <c r="E18" s="473">
        <f>IF(ISNUMBER(
   IF(D_I="SI",(Datos!L18-Datos!V18)/Datos!V18,(Datos!L18+Datos!AF18-(Datos!V18+Datos!AN18))/(Datos!V18+Datos!AN18))
     ),IF(D_I="SI",(Datos!L18-Datos!V18)/Datos!V18,(Datos!L18+Datos!AF18-(Datos!V18+Datos!AN18))/(Datos!V18+Datos!AN18))," - ")</f>
        <v>-0.19421487603305784</v>
      </c>
      <c r="F18" s="473">
        <f>IF(ISNUMBER((Datos!M18-Datos!W18)/Datos!W18),(Datos!M18-Datos!W18)/Datos!W18," - ")</f>
        <v>1.1000000000000001</v>
      </c>
      <c r="G18" s="474">
        <f>IF(ISNUMBER((Datos!N18-Datos!X18)/Datos!X18),(Datos!N18-Datos!X18)/Datos!X18," - ")</f>
        <v>-0.20784313725490197</v>
      </c>
      <c r="H18" s="472">
        <f>IF(ISNUMBER(((NºAsuntos!G18/NºAsuntos!E18)-Datos!BD18)/Datos!BD18),((NºAsuntos!G18/NºAsuntos!E18)-Datos!BD18)/Datos!BD18," - ")</f>
        <v>0.12121376614916948</v>
      </c>
      <c r="I18" s="473">
        <f>IF(ISNUMBER(((NºAsuntos!I18/NºAsuntos!G18)-Datos!BE18)/Datos!BE18),((NºAsuntos!I18/NºAsuntos!G18)-Datos!BE18)/Datos!BE18," - ")</f>
        <v>-3.6217792902284912E-2</v>
      </c>
      <c r="J18" s="478">
        <f>IF(ISNUMBER((('Resol  Asuntos'!D18/NºAsuntos!G18)-Datos!BF18)/Datos!BF18),(('Resol  Asuntos'!D18/NºAsuntos!G18)-Datos!BF18)/Datos!BF18," - ")</f>
        <v>1.5117647058823529</v>
      </c>
      <c r="K18" s="479">
        <f>IF(ISNUMBER((((NºAsuntos!C18+NºAsuntos!E18)/NºAsuntos!G18)-Datos!BG18)/Datos!BG18),(((NºAsuntos!C18+NºAsuntos!E18)/NºAsuntos!G18)-Datos!BG18)/Datos!BG18," - ")</f>
        <v>-1.1073706591070076E-2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-5.3598774885145481E-3</v>
      </c>
      <c r="C20" s="1002">
        <f>IF(ISNUMBER(
   IF(Criterios!B14="SI",(Datos!J20-Datos!T20)/Datos!T20,(Datos!J20+Datos!AD20-(Datos!T20+Datos!AL20))/(Datos!T20+Datos!AL20))
     ),IF(Criterios!B14="SI",(Datos!J20-Datos!T20)/Datos!T20,(Datos!J20+Datos!AD20-(Datos!T20+Datos!AL20))/(Datos!T20+Datos!AL20))," - ")</f>
        <v>-1.0919781604367913E-2</v>
      </c>
      <c r="D20" s="1002">
        <f>IF(ISNUMBER(
   IF(Criterios!B14="SI",(Datos!K20-Datos!U20)/Datos!U20,(Datos!K20+Datos!AE20-(Datos!U20+Datos!AM20))/(Datos!U20+Datos!AM20))
     ),IF(Criterios!B14="SI",(Datos!K20-Datos!U20)/Datos!U20,(Datos!K20+Datos!AE20-(Datos!U20+Datos!AM20))/(Datos!U20+Datos!AM20))," - ")</f>
        <v>-7.7897160399079055E-2</v>
      </c>
      <c r="E20" s="1002">
        <f>IF(ISNUMBER(
   IF(Criterios!B14="SI",(Datos!L20-Datos!V20)/Datos!V20,(Datos!L20+Datos!AF20-(Datos!V20+Datos!AN20))/(Datos!V20+Datos!AN20))
     ),IF(Criterios!B14="SI",(Datos!L20-Datos!V20)/Datos!V20,(Datos!L20+Datos!AF20-(Datos!V20+Datos!AN20))/(Datos!V20+Datos!AN20))," - ")</f>
        <v>0.17714791851195749</v>
      </c>
      <c r="F20" s="1003">
        <f>IF(ISNUMBER((Datos!M20-Datos!W20)/Datos!W20),(Datos!M20-Datos!W20)/Datos!W20," - ")</f>
        <v>-0.14137931034482759</v>
      </c>
      <c r="G20" s="1004">
        <f>IF(ISNUMBER((Datos!N20-Datos!X20)/Datos!X20),(Datos!N20-Datos!X20)/Datos!X20," - ")</f>
        <v>-6.8741893644617386E-2</v>
      </c>
      <c r="H20" s="1004">
        <f>IF(ISNUMBER(((NºAsuntos!G20/NºAsuntos!E20)-Datos!BD20)/Datos!BD20),((NºAsuntos!G20/NºAsuntos!E20)-Datos!BD20)/Datos!BD20," - ")</f>
        <v>-6.7716831809005229E-2</v>
      </c>
      <c r="I20" s="1004">
        <f>IF(ISNUMBER(((NºAsuntos!I20/NºAsuntos!G20)-Datos!BE20)/Datos!BE20),((NºAsuntos!I20/NºAsuntos!G20)-Datos!BE20)/Datos!BE20," - ")</f>
        <v>0.27659070979698758</v>
      </c>
      <c r="J20" s="1004">
        <f>IF(ISNUMBER((('Resol  Asuntos'!D20/NºAsuntos!G20)-Datos!BF20)/Datos!BF20),(('Resol  Asuntos'!D20/NºAsuntos!G20)-Datos!BF20)/Datos!BF20," - ")</f>
        <v>-6.8844978259933631E-2</v>
      </c>
      <c r="K20" s="1004">
        <f>IF(ISNUMBER((((NºAsuntos!C20+NºAsuntos!E20)/NºAsuntos!G20)-Datos!BG20)/Datos!BG20),(((NºAsuntos!C20+NºAsuntos!E20)/NºAsuntos!G20)-Datos!BG20)/Datos!BG20," - ")</f>
        <v>7.4771263341490299E-2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0.38988043666608907</v>
      </c>
      <c r="C21" s="949">
        <f>IF(ISNUMBER(
   IF(J_V="SI",(Datos!J21-Datos!T21)/Datos!T21,(Datos!J21+Datos!Z21-(Datos!T21+Datos!AH21))/(Datos!T21+Datos!AH21))
     ),IF(J_V="SI",(Datos!J21-Datos!T21)/Datos!T21,(Datos!J21+Datos!Z21-(Datos!T21+Datos!AH21))/(Datos!T21+Datos!AH21))," - ")</f>
        <v>5.6742954416493289E-4</v>
      </c>
      <c r="D21" s="949">
        <f>IF(ISNUMBER(
   IF(J_V="SI",(Datos!K21-Datos!U21)/Datos!U21,(Datos!K21+Datos!AA21-(Datos!U21+Datos!AI21))/(Datos!U21+Datos!AI21))
     ),IF(J_V="SI",(Datos!K21-Datos!U21)/Datos!U21,(Datos!K21+Datos!AA21-(Datos!U21+Datos!AI21))/(Datos!U21+Datos!AI21))," - ")</f>
        <v>-0.19703425941707858</v>
      </c>
      <c r="E21" s="949">
        <f>IF(ISNUMBER(
   IF(J_V="SI",(Datos!L21-Datos!V21)/Datos!V21,(Datos!L21+Datos!AB21-(Datos!V21+Datos!AJ21))/(Datos!V21+Datos!AJ21))
     ),IF(J_V="SI",(Datos!L21-Datos!V21)/Datos!V21,(Datos!L21+Datos!AB21-(Datos!V21+Datos!AJ21))/(Datos!V21+Datos!AJ21))," - ")</f>
        <v>0.48091342876618948</v>
      </c>
      <c r="F21" s="950">
        <f>IF(ISNUMBER((Datos!M21-Datos!W21)/Datos!W21),(Datos!M21-Datos!W21)/Datos!W21," - ")</f>
        <v>-0.29553679131483718</v>
      </c>
      <c r="G21" s="951">
        <f>IF(ISNUMBER((Datos!N21-Datos!X21)/Datos!X21),(Datos!N21-Datos!X21)/Datos!X21," - ")</f>
        <v>-0.15393654524089306</v>
      </c>
      <c r="H21" s="952">
        <f>IF(ISNUMBER((Tasas!B21-Datos!BD21)/Datos!BD21),(Tasas!B21-Datos!BD21)/Datos!BD21," - ")</f>
        <v>-0.19748962751192706</v>
      </c>
      <c r="I21" s="953">
        <f>IF(ISNUMBER((Tasas!C21-Datos!BE21)/Datos!BE21),(Tasas!C21-Datos!BE21)/Datos!BE21," - ")</f>
        <v>0.84430462461711597</v>
      </c>
      <c r="J21" s="954">
        <f>IF(ISNUMBER((Tasas!D21-Datos!BF21)/Datos!BF21),(Tasas!D21-Datos!BF21)/Datos!BF21," - ")</f>
        <v>-0.66045576229501213</v>
      </c>
      <c r="K21" s="954">
        <f>IF(ISNUMBER((Tasas!E21-Datos!BG21)/Datos!BG21),(Tasas!E21-Datos!BG21)/Datos!BG21," - ")</f>
        <v>0.49912235975118785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OYzA/5vrrqGTSudbAAdpDf6cUDWrd3RWfkLsUzxCFgFZ3rKm9V2cGHyh7V5SPRh4DCOaM0yGteffXnXvjufYA==" saltValue="LfWu4cRVyYdU5g41/rOjv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TORREJON DE ARDOZ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0.78576364892881823</v>
      </c>
      <c r="C9" s="460">
        <f>IF(ISNUMBER(NºAsuntos!I9/NºAsuntos!G9),NºAsuntos!I9/NºAsuntos!G9," - ")</f>
        <v>3.1789797713280561</v>
      </c>
      <c r="D9" s="461">
        <f>IF(ISNUMBER('Resol  Asuntos'!D9/NºAsuntos!G9),'Resol  Asuntos'!D9/NºAsuntos!G9," - ")</f>
        <v>0.14511873350923482</v>
      </c>
      <c r="E9" s="462">
        <f>IF(ISNUMBER((NºAsuntos!C9+NºAsuntos!E9)/NºAsuntos!G9),(NºAsuntos!C9+NºAsuntos!E9)/NºAsuntos!G9," - ")</f>
        <v>4.1737027264731754</v>
      </c>
      <c r="G9" s="480"/>
    </row>
    <row r="10" spans="1:7">
      <c r="A10" s="414" t="str">
        <f>Datos!A10</f>
        <v>Jdos. Violencia contra la mujer</v>
      </c>
      <c r="B10" s="459">
        <f>IF(ISNUMBER(NºAsuntos!G10/NºAsuntos!E10),NºAsuntos!G10/NºAsuntos!E10," - ")</f>
        <v>0.82499999999999996</v>
      </c>
      <c r="C10" s="460">
        <f>IF(ISNUMBER(NºAsuntos!I10/NºAsuntos!G10),NºAsuntos!I10/NºAsuntos!G10," - ")</f>
        <v>4</v>
      </c>
      <c r="D10" s="461">
        <f>IF(ISNUMBER('Resol  Asuntos'!D10/NºAsuntos!G10),'Resol  Asuntos'!D10/NºAsuntos!G10," - ")</f>
        <v>0.15151515151515152</v>
      </c>
      <c r="E10" s="462">
        <f>IF(ISNUMBER((NºAsuntos!C10+NºAsuntos!E10)/NºAsuntos!G10),(NºAsuntos!C10+NºAsuntos!E10)/NºAsuntos!G10," - ")</f>
        <v>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v>
      </c>
      <c r="C12" s="460">
        <f>IF(ISNUMBER(NºAsuntos!I12/NºAsuntos!G12),NºAsuntos!I12/NºAsuntos!G12," - ")</f>
        <v>0</v>
      </c>
      <c r="D12" s="461">
        <f>IF(ISNUMBER('Resol  Asuntos'!D12/NºAsuntos!G12),'Resol  Asuntos'!D12/NºAsuntos!G12," - ")</f>
        <v>0</v>
      </c>
      <c r="E12" s="462">
        <f>IF(ISNUMBER((NºAsuntos!C12+NºAsuntos!E12)/NºAsuntos!G12),(NºAsuntos!C12+NºAsuntos!E12)/NºAsuntos!G12," - ")</f>
        <v>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0.78637137989778538</v>
      </c>
      <c r="C14" s="1006">
        <f>IF(ISNUMBER(NºAsuntos!I14/NºAsuntos!G14),NºAsuntos!I14/NºAsuntos!G14," - ")</f>
        <v>3.1893414211438476</v>
      </c>
      <c r="D14" s="1007">
        <f>IF(ISNUMBER('Resol  Asuntos'!D14/NºAsuntos!G14),'Resol  Asuntos'!D14/NºAsuntos!G14," - ")</f>
        <v>0.1451473136915078</v>
      </c>
      <c r="E14" s="1008">
        <f>IF(ISNUMBER((NºAsuntos!C14+NºAsuntos!E14)/NºAsuntos!G14),(NºAsuntos!C14+NºAsuntos!E14)/NºAsuntos!G14," - ")</f>
        <v>4.1841421143847484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0.9965903555772041</v>
      </c>
      <c r="C16" s="460">
        <f>IF(ISNUMBER(NºAsuntos!I16/NºAsuntos!G16),NºAsuntos!I16/NºAsuntos!G16," - ")</f>
        <v>0.55034213098729223</v>
      </c>
      <c r="D16" s="461">
        <f>IF(ISNUMBER('Resol  Asuntos'!D16/NºAsuntos!G16),'Resol  Asuntos'!D16/NºAsuntos!G16," - ")</f>
        <v>0.11143695014662756</v>
      </c>
      <c r="E16" s="462">
        <f>IF(ISNUMBER((NºAsuntos!C16+NºAsuntos!E16)/NºAsuntos!G16),(NºAsuntos!C16+NºAsuntos!E16)/NºAsuntos!G16," - ")</f>
        <v>1.5136852394916911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1.1821192052980132</v>
      </c>
      <c r="C18" s="460">
        <f>IF(ISNUMBER(NºAsuntos!I18/NºAsuntos!G18),NºAsuntos!I18/NºAsuntos!G18," - ")</f>
        <v>0.54621848739495793</v>
      </c>
      <c r="D18" s="461">
        <f>IF(ISNUMBER('Resol  Asuntos'!D18/NºAsuntos!G18),'Resol  Asuntos'!D18/NºAsuntos!G18," - ")</f>
        <v>5.8823529411764705E-2</v>
      </c>
      <c r="E18" s="462">
        <f>IF(ISNUMBER((NºAsuntos!C18+NºAsuntos!E18)/NºAsuntos!G18),(NºAsuntos!C18+NºAsuntos!E18)/NºAsuntos!G18," - ")</f>
        <v>1.5378151260504203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1.0203821656050955</v>
      </c>
      <c r="C20" s="1006">
        <f>IF(ISNUMBER(NºAsuntos!I20/NºAsuntos!G20),NºAsuntos!I20/NºAsuntos!G20," - ")</f>
        <v>0.55305867665418229</v>
      </c>
      <c r="D20" s="1009">
        <f>IF(ISNUMBER('Resol  Asuntos'!D20/NºAsuntos!G20),'Resol  Asuntos'!D20/NºAsuntos!G20," - ")</f>
        <v>0.10362047440699126</v>
      </c>
      <c r="E20" s="1008">
        <f>IF(ISNUMBER((NºAsuntos!C20+NºAsuntos!E20)/NºAsuntos!G20),(NºAsuntos!C20+NºAsuntos!E20)/NºAsuntos!G20," - ")</f>
        <v>1.5205992509363295</v>
      </c>
      <c r="G20" s="480"/>
    </row>
    <row r="21" spans="1:7" ht="15.75" customHeight="1" thickTop="1" thickBot="1">
      <c r="A21" s="940" t="str">
        <f>Datos!A21</f>
        <v>TOTAL JURISDICCIONES</v>
      </c>
      <c r="B21" s="955">
        <f>IF(ISNUMBER(NºAsuntos!G21/NºAsuntos!E21),NºAsuntos!G21/NºAsuntos!E21," - ")</f>
        <v>0.89054820415879021</v>
      </c>
      <c r="C21" s="956">
        <f>IF(ISNUMBER(NºAsuntos!I21/NºAsuntos!G21),NºAsuntos!I21/NºAsuntos!G21," - ")</f>
        <v>1.844618976862662</v>
      </c>
      <c r="D21" s="957">
        <f>IF(ISNUMBER('Resol  Asuntos'!D21/NºAsuntos!G21),'Resol  Asuntos'!D21/NºAsuntos!G21," - ")</f>
        <v>0.12396518785820421</v>
      </c>
      <c r="E21" s="958">
        <f>IF(ISNUMBER((NºAsuntos!C21+NºAsuntos!E21)/NºAsuntos!G21),(NºAsuntos!C21+NºAsuntos!E21)/NºAsuntos!G21," - ")</f>
        <v>2.8255147527064319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H6EZP0MpO7CHcLyn7s5tdY1SGEFzkUhfPNZ7aVIBM28fteW38WZYd17uoGv+oAnVNHQJaJoKKQBCPD/rbQRHg==" saltValue="N+X0c+EEvtaptWTYsFm7V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TORREJON DE ARDOZ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505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297</v>
      </c>
      <c r="Y9" s="344">
        <f>SUM(W9:X9)</f>
        <v>297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7122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330</v>
      </c>
      <c r="AJ9" s="234" t="str">
        <f>IF(ISNUMBER(Datos!BW9),Datos!BW9," - ")</f>
        <v xml:space="preserve"> - </v>
      </c>
      <c r="AK9" s="233" t="str">
        <f>IF(ISNUMBER(Datos!BX9),Datos!BX9," - ")</f>
        <v xml:space="preserve"> - </v>
      </c>
      <c r="AL9" s="248">
        <f>IF(ISNUMBER(NºAsuntos!G9/NºAsuntos!E9),NºAsuntos!G9/NºAsuntos!E9," - ")</f>
        <v>0.78576364892881823</v>
      </c>
      <c r="AM9" s="265">
        <f>IF(ISNUMBER(((NºAsuntos!I9/NºAsuntos!G9)*11)/factor_trimestre),((NºAsuntos!I9/NºAsuntos!G9)*11)/factor_trimestre," - ")</f>
        <v>9.5369393139841687</v>
      </c>
      <c r="AN9" s="249">
        <f>IF(ISNUMBER('Resol  Asuntos'!D9/NºAsuntos!G9),'Resol  Asuntos'!D9/NºAsuntos!G9," - ")</f>
        <v>0.14511873350923482</v>
      </c>
      <c r="AO9" s="250">
        <f>IF(ISNUMBER((NºAsuntos!C9+NºAsuntos!E9)/NºAsuntos!G9),(NºAsuntos!C9+NºAsuntos!E9)/NºAsuntos!G9," - ")</f>
        <v>4.1737027264731754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125</v>
      </c>
      <c r="G10" s="343">
        <f>IF(ISNUMBER(Datos!I10),Datos!I10," - ")</f>
        <v>125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33</v>
      </c>
      <c r="X10" s="231">
        <f>IF(ISNUMBER(Datos!Q10),Datos!Q10," - ")</f>
        <v>4</v>
      </c>
      <c r="Y10" s="344">
        <f t="shared" ref="Y10:Y13" si="0">SUM(W10:X10)</f>
        <v>37</v>
      </c>
      <c r="Z10" s="345" t="str">
        <f>IF(ISNUMBER(Datos!CC10),Datos!CC10," - ")</f>
        <v xml:space="preserve"> - </v>
      </c>
      <c r="AA10" s="342">
        <f>IF(ISNUMBER(Datos!L10),Datos!L10,"-")</f>
        <v>132</v>
      </c>
      <c r="AB10" s="344">
        <f>IF(ISNUMBER(Datos!R10),Datos!R10," - ")</f>
        <v>76</v>
      </c>
      <c r="AC10" s="344">
        <f t="shared" ref="AC10:AC13" si="1">IF(ISNUMBER(AA10+AB10),AA10+AB10," - ")</f>
        <v>208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0.82499999999999996</v>
      </c>
      <c r="AM10" s="265">
        <f>IF(ISNUMBER(((NºAsuntos!I10/NºAsuntos!G10)*11)/factor_trimestre),((NºAsuntos!I10/NºAsuntos!G10)*11)/factor_trimestre," - ")</f>
        <v>12</v>
      </c>
      <c r="AN10" s="249">
        <f>IF(ISNUMBER('Resol  Asuntos'!D10/NºAsuntos!G10),'Resol  Asuntos'!D10/NºAsuntos!G10," - ")</f>
        <v>0.15151515151515152</v>
      </c>
      <c r="AO10" s="250">
        <f>IF(ISNUMBER((NºAsuntos!C10+NºAsuntos!E10)/NºAsuntos!G10),(NºAsuntos!C10+NºAsuntos!E10)/NºAsuntos!G10," - ")</f>
        <v>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v>
      </c>
      <c r="Y12" s="344">
        <f t="shared" si="0"/>
        <v>17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f>IF(ISNUMBER(NºAsuntos!G12/NºAsuntos!E12),NºAsuntos!G12/NºAsuntos!E12," - ")</f>
        <v>1</v>
      </c>
      <c r="AM12" s="265">
        <f>IF(ISNUMBER(((NºAsuntos!I12/NºAsuntos!G12)*11)/factor_trimestre),((NºAsuntos!I12/NºAsuntos!G12)*11)/factor_trimestre," - ")</f>
        <v>0</v>
      </c>
      <c r="AN12" s="249">
        <f>IF(ISNUMBER('Resol  Asuntos'!D12/NºAsuntos!G12),'Resol  Asuntos'!D12/NºAsuntos!G12," - ")</f>
        <v>0</v>
      </c>
      <c r="AO12" s="250">
        <f>IF(ISNUMBER((NºAsuntos!C12+NºAsuntos!E12)/NºAsuntos!G12),(NºAsuntos!C12+NºAsuntos!E12)/NºAsuntos!G12," - ")</f>
        <v>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125</v>
      </c>
      <c r="G14" s="1013">
        <f t="shared" si="5"/>
        <v>125</v>
      </c>
      <c r="H14" s="1012">
        <f t="shared" si="5"/>
        <v>0</v>
      </c>
      <c r="I14" s="1014">
        <f t="shared" si="5"/>
        <v>0</v>
      </c>
      <c r="J14" s="1014">
        <f t="shared" si="5"/>
        <v>0</v>
      </c>
      <c r="K14" s="1014">
        <f t="shared" si="5"/>
        <v>0</v>
      </c>
      <c r="L14" s="1014">
        <f t="shared" si="5"/>
        <v>509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33</v>
      </c>
      <c r="X14" s="1014">
        <f t="shared" si="6"/>
        <v>318</v>
      </c>
      <c r="Y14" s="1015">
        <f t="shared" si="6"/>
        <v>351</v>
      </c>
      <c r="Z14" s="1015">
        <f t="shared" si="6"/>
        <v>0</v>
      </c>
      <c r="AA14" s="1015">
        <f t="shared" si="6"/>
        <v>132</v>
      </c>
      <c r="AB14" s="1015">
        <f t="shared" si="6"/>
        <v>7642</v>
      </c>
      <c r="AC14" s="1015">
        <f t="shared" si="6"/>
        <v>208</v>
      </c>
      <c r="AD14" s="1015">
        <f t="shared" si="6"/>
        <v>0</v>
      </c>
      <c r="AE14" s="1019">
        <f t="shared" si="6"/>
        <v>0</v>
      </c>
      <c r="AF14" s="1012">
        <f t="shared" si="6"/>
        <v>0</v>
      </c>
      <c r="AG14" s="1020">
        <f t="shared" si="6"/>
        <v>0</v>
      </c>
      <c r="AH14" s="1017">
        <f t="shared" si="6"/>
        <v>0</v>
      </c>
      <c r="AI14" s="1012">
        <f t="shared" si="6"/>
        <v>335</v>
      </c>
      <c r="AJ14" s="1014">
        <f t="shared" si="6"/>
        <v>0</v>
      </c>
      <c r="AK14" s="1017">
        <f>SUBTOTAL(9,AK9:AK13)</f>
        <v>0</v>
      </c>
      <c r="AL14" s="1021">
        <f>IF(ISNUMBER(NºAsuntos!G14/NºAsuntos!E14),NºAsuntos!G14/NºAsuntos!E14," - ")</f>
        <v>0.78637137989778538</v>
      </c>
      <c r="AM14" s="1021">
        <f>IF(ISNUMBER(((NºAsuntos!I14/NºAsuntos!G14)*11)/factor_trimestre),((NºAsuntos!I14/NºAsuntos!G14)*11)/factor_trimestre," - ")</f>
        <v>9.5680242634315427</v>
      </c>
      <c r="AN14" s="1022">
        <f>IF(ISNUMBER('Resol  Asuntos'!D14/NºAsuntos!G14),'Resol  Asuntos'!D14/NºAsuntos!G14," - ")</f>
        <v>0.1451473136915078</v>
      </c>
      <c r="AO14" s="1023">
        <f>IF(ISNUMBER((NºAsuntos!C14+NºAsuntos!E14)/NºAsuntos!G14),(NºAsuntos!C14+NºAsuntos!E14)/NºAsuntos!G14," - ")</f>
        <v>4.1841421143847484</v>
      </c>
      <c r="AP14" s="1024" t="str">
        <f t="shared" si="2"/>
        <v xml:space="preserve"> - </v>
      </c>
      <c r="AQ14" s="1024">
        <f>IF(ISNUMBER((H14-W14+K14)/(F14)),(H14-W14+K14)/(F14)," - ")</f>
        <v>-0.26400000000000001</v>
      </c>
      <c r="AR14" s="1025">
        <f>IF(ISNUMBER((Datos!P14-Datos!Q14)/(Datos!R14-Datos!P14+Datos!Q14)),(Datos!P14-Datos!Q14)/(Datos!R14-Datos!P14+Datos!Q14)," - ")</f>
        <v>2.5634143068044558E-2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1119</v>
      </c>
      <c r="G16" s="343">
        <f>IF(ISNUMBER(IF(D_I="SI",Datos!I16,Datos!I16+Datos!AC16)),IF(D_I="SI",Datos!I16,Datos!I16+Datos!AC16)," - ")</f>
        <v>1044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2046</v>
      </c>
      <c r="X16" s="231">
        <f>IF(ISNUMBER(Datos!Q16),Datos!Q16," - ")</f>
        <v>33</v>
      </c>
      <c r="Y16" s="344">
        <f>SUM(W16)</f>
        <v>2046</v>
      </c>
      <c r="Z16" s="345" t="str">
        <f>IF(ISNUMBER(Datos!CC16),Datos!CC16," - ")</f>
        <v xml:space="preserve"> - </v>
      </c>
      <c r="AA16" s="342">
        <f>IF(ISNUMBER(IF(D_I="SI",Datos!L16,Datos!L16+Datos!AF16)),IF(D_I="SI",Datos!L16,Datos!L16+Datos!AF16)," - ")</f>
        <v>1126</v>
      </c>
      <c r="AB16" s="344">
        <f>IF(ISNUMBER(Datos!R16),Datos!R16," - ")</f>
        <v>428</v>
      </c>
      <c r="AC16" s="344">
        <f t="shared" ref="AC16:AC19" si="8">IF(ISNUMBER(AA16+AB16),AA16+AB16," - ")</f>
        <v>1554</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228</v>
      </c>
      <c r="AJ16" s="236" t="str">
        <f>IF(ISNUMBER(Datos!BW16),Datos!BW16," - ")</f>
        <v xml:space="preserve"> - </v>
      </c>
      <c r="AK16" s="237" t="str">
        <f>IF(ISNUMBER(Datos!BX16),Datos!BX16," - ")</f>
        <v xml:space="preserve"> - </v>
      </c>
      <c r="AL16" s="248">
        <f>IF(ISNUMBER(NºAsuntos!G16/NºAsuntos!E16),NºAsuntos!G16/NºAsuntos!E16," - ")</f>
        <v>0.9965903555772041</v>
      </c>
      <c r="AM16" s="265">
        <f>IF(ISNUMBER(((NºAsuntos!I16/NºAsuntos!G16)*11)/factor_trimestre),((NºAsuntos!I16/NºAsuntos!G16)*11)/factor_trimestre," - ")</f>
        <v>1.6510263929618767</v>
      </c>
      <c r="AN16" s="249">
        <f>IF(ISNUMBER('Resol  Asuntos'!D16/NºAsuntos!G16),'Resol  Asuntos'!D16/NºAsuntos!G16," - ")</f>
        <v>0.11143695014662756</v>
      </c>
      <c r="AO16" s="250">
        <f>IF(ISNUMBER((NºAsuntos!C16+NºAsuntos!E16)/NºAsuntos!G16),(NºAsuntos!C16+NºAsuntos!E16)/NºAsuntos!G16," - ")</f>
        <v>1.5136852394916911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8</v>
      </c>
      <c r="G17" s="343">
        <f>IF(ISNUMBER(IF(D_I="SI",Datos!I17,Datos!I17+Datos!AC17)),IF(D_I="SI",Datos!I17,Datos!I17+Datos!AC17)," - ")</f>
        <v>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8</v>
      </c>
      <c r="AB17" s="344">
        <f>IF(ISNUMBER(Datos!R17),Datos!R17," - ")</f>
        <v>0</v>
      </c>
      <c r="AC17" s="344">
        <f t="shared" si="8"/>
        <v>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247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357</v>
      </c>
      <c r="X18" s="231">
        <f>IF(ISNUMBER(Datos!Q18),Datos!Q18," - ")</f>
        <v>2</v>
      </c>
      <c r="Y18" s="344">
        <f t="shared" si="9"/>
        <v>359</v>
      </c>
      <c r="Z18" s="345" t="str">
        <f>IF(ISNUMBER(Datos!CC18),Datos!CC18," - ")</f>
        <v xml:space="preserve"> - </v>
      </c>
      <c r="AA18" s="342">
        <f>IF(ISNUMBER(Datos!L18),Datos!L18,"-")</f>
        <v>195</v>
      </c>
      <c r="AB18" s="344">
        <f>IF(ISNUMBER(Datos!R18),Datos!R18," - ")</f>
        <v>5</v>
      </c>
      <c r="AC18" s="344">
        <f t="shared" si="8"/>
        <v>200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21</v>
      </c>
      <c r="AJ18" s="236" t="str">
        <f>IF(ISNUMBER(Datos!BW18),Datos!BW18," - ")</f>
        <v xml:space="preserve"> - </v>
      </c>
      <c r="AK18" s="237" t="str">
        <f>IF(ISNUMBER(Datos!BX18),Datos!BX18," - ")</f>
        <v xml:space="preserve"> - </v>
      </c>
      <c r="AL18" s="248">
        <f>IF(ISNUMBER(NºAsuntos!G18/NºAsuntos!E18),NºAsuntos!G18/NºAsuntos!E18," - ")</f>
        <v>1.1821192052980132</v>
      </c>
      <c r="AM18" s="265">
        <f>IF(ISNUMBER(((NºAsuntos!I18/NºAsuntos!G18)*11)/factor_trimestre),((NºAsuntos!I18/NºAsuntos!G18)*11)/factor_trimestre," - ")</f>
        <v>1.6386554621848737</v>
      </c>
      <c r="AN18" s="249">
        <f>IF(ISNUMBER('Resol  Asuntos'!D18/NºAsuntos!G18),'Resol  Asuntos'!D18/NºAsuntos!G18," - ")</f>
        <v>5.8823529411764705E-2</v>
      </c>
      <c r="AO18" s="250">
        <f>IF(ISNUMBER((NºAsuntos!C18+NºAsuntos!E18)/NºAsuntos!G18),(NºAsuntos!C18+NºAsuntos!E18)/NºAsuntos!G18," - ")</f>
        <v>1.5378151260504203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1127</v>
      </c>
      <c r="G20" s="1013">
        <f>SUBTOTAL(9,G16:G19)</f>
        <v>1299</v>
      </c>
      <c r="H20" s="1012">
        <f t="shared" ref="H20:O20" si="12">SUBTOTAL(9,H15:H19)</f>
        <v>0</v>
      </c>
      <c r="I20" s="1014">
        <f t="shared" si="12"/>
        <v>0</v>
      </c>
      <c r="J20" s="1014">
        <f t="shared" si="12"/>
        <v>0</v>
      </c>
      <c r="K20" s="1014">
        <f t="shared" si="12"/>
        <v>0</v>
      </c>
      <c r="L20" s="1014">
        <f t="shared" si="12"/>
        <v>81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2403</v>
      </c>
      <c r="X20" s="1014">
        <f t="shared" si="13"/>
        <v>35</v>
      </c>
      <c r="Y20" s="1015">
        <f t="shared" si="13"/>
        <v>2405</v>
      </c>
      <c r="Z20" s="1015">
        <f t="shared" si="13"/>
        <v>0</v>
      </c>
      <c r="AA20" s="1015">
        <f t="shared" si="13"/>
        <v>1329</v>
      </c>
      <c r="AB20" s="1015">
        <f t="shared" si="13"/>
        <v>433</v>
      </c>
      <c r="AC20" s="1015">
        <f t="shared" si="13"/>
        <v>1762</v>
      </c>
      <c r="AD20" s="1015">
        <f t="shared" si="13"/>
        <v>0</v>
      </c>
      <c r="AE20" s="1019">
        <f t="shared" si="13"/>
        <v>0</v>
      </c>
      <c r="AF20" s="1012">
        <f t="shared" si="13"/>
        <v>0</v>
      </c>
      <c r="AG20" s="1020">
        <f t="shared" si="13"/>
        <v>0</v>
      </c>
      <c r="AH20" s="1017">
        <f t="shared" si="13"/>
        <v>0</v>
      </c>
      <c r="AI20" s="1012">
        <f t="shared" si="13"/>
        <v>249</v>
      </c>
      <c r="AJ20" s="1014">
        <f t="shared" si="13"/>
        <v>0</v>
      </c>
      <c r="AK20" s="1017">
        <f t="shared" si="13"/>
        <v>0</v>
      </c>
      <c r="AL20" s="1021">
        <f>IF(ISNUMBER(NºAsuntos!G20/NºAsuntos!E20),NºAsuntos!G20/NºAsuntos!E20," - ")</f>
        <v>1.0203821656050955</v>
      </c>
      <c r="AM20" s="1021">
        <f>IF(ISNUMBER(((NºAsuntos!I20/NºAsuntos!G20)*11)/factor_trimestre),((NºAsuntos!I20/NºAsuntos!G20)*11)/factor_trimestre," - ")</f>
        <v>1.6591760299625469</v>
      </c>
      <c r="AN20" s="1022">
        <f>IF(ISNUMBER('Resol  Asuntos'!D20/NºAsuntos!G20),'Resol  Asuntos'!D20/NºAsuntos!G20," - ")</f>
        <v>0.10362047440699126</v>
      </c>
      <c r="AO20" s="1023">
        <f>IF(ISNUMBER((NºAsuntos!C20+NºAsuntos!E20)/NºAsuntos!G20),(NºAsuntos!C20+NºAsuntos!E20)/NºAsuntos!G20," - ")</f>
        <v>1.5205992509363295</v>
      </c>
      <c r="AP20" s="1024" t="str">
        <f t="shared" si="2"/>
        <v xml:space="preserve"> - </v>
      </c>
      <c r="AQ20" s="1024">
        <f>IF(ISNUMBER((H20-W20+K20)/(F20)),(H20-W20+K20)/(F20)," - ")</f>
        <v>-2.1322094055013308</v>
      </c>
      <c r="AR20" s="1025">
        <f>IF(ISNUMBER((Datos!P20-Datos!Q20)/(Datos!R20-Datos!P20+Datos!Q20)),(Datos!P20-Datos!Q20)/(Datos!R20-Datos!P20+Datos!Q20)," - ")</f>
        <v>0.11886304909560723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1252</v>
      </c>
      <c r="G21" s="968">
        <f t="shared" si="15"/>
        <v>1424</v>
      </c>
      <c r="H21" s="967">
        <f t="shared" si="15"/>
        <v>0</v>
      </c>
      <c r="I21" s="969">
        <f t="shared" si="15"/>
        <v>0</v>
      </c>
      <c r="J21" s="969">
        <f t="shared" si="15"/>
        <v>0</v>
      </c>
      <c r="K21" s="1028">
        <f t="shared" si="15"/>
        <v>0</v>
      </c>
      <c r="L21" s="969">
        <f t="shared" si="15"/>
        <v>590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2436</v>
      </c>
      <c r="X21" s="968">
        <f t="shared" si="16"/>
        <v>353</v>
      </c>
      <c r="Y21" s="975">
        <f t="shared" si="16"/>
        <v>2756</v>
      </c>
      <c r="Z21" s="975">
        <f t="shared" si="16"/>
        <v>0</v>
      </c>
      <c r="AA21" s="975">
        <f t="shared" si="16"/>
        <v>1461</v>
      </c>
      <c r="AB21" s="975">
        <f t="shared" si="16"/>
        <v>8075</v>
      </c>
      <c r="AC21" s="975">
        <f t="shared" si="16"/>
        <v>1970</v>
      </c>
      <c r="AD21" s="975">
        <f t="shared" si="16"/>
        <v>0</v>
      </c>
      <c r="AE21" s="977">
        <f t="shared" si="16"/>
        <v>0</v>
      </c>
      <c r="AF21" s="978">
        <f t="shared" si="16"/>
        <v>0</v>
      </c>
      <c r="AG21" s="979">
        <f t="shared" si="16"/>
        <v>0</v>
      </c>
      <c r="AH21" s="977">
        <f t="shared" si="16"/>
        <v>0</v>
      </c>
      <c r="AI21" s="967">
        <f t="shared" si="16"/>
        <v>584</v>
      </c>
      <c r="AJ21" s="967">
        <f t="shared" si="16"/>
        <v>0</v>
      </c>
      <c r="AK21" s="977">
        <f t="shared" si="16"/>
        <v>0</v>
      </c>
      <c r="AL21" s="1031">
        <f>IF(ISNUMBER(NºAsuntos!G21/NºAsuntos!E21),NºAsuntos!G21/NºAsuntos!E21," - ")</f>
        <v>0.89054820415879021</v>
      </c>
      <c r="AM21" s="1032">
        <f>IF(ISNUMBER(((NºAsuntos!I21/NºAsuntos!G21)*11)/factor_trimestre),((NºAsuntos!I21/NºAsuntos!G21)*11)/factor_trimestre," - ")</f>
        <v>5.5338569305879863</v>
      </c>
      <c r="AN21" s="1032">
        <f>IF(ISNUMBER('Resol  Asuntos'!D21/NºAsuntos!G21),'Resol  Asuntos'!D21/NºAsuntos!G21," - ")</f>
        <v>0.12396518785820421</v>
      </c>
      <c r="AO21" s="1033">
        <f>IF(ISNUMBER((NºAsuntos!C21+NºAsuntos!E21)/NºAsuntos!G21),(NºAsuntos!C21+NºAsuntos!E21)/NºAsuntos!G21," - ")</f>
        <v>2.8255147527064319</v>
      </c>
      <c r="AP21" s="1034" t="str">
        <f t="shared" si="2"/>
        <v xml:space="preserve"> - </v>
      </c>
      <c r="AQ21" s="1035">
        <f>IF(OR(ISNUMBER(FIND("01",Criterios!A8,1)),ISNUMBER(FIND("02",Criterios!A8,1)),ISNUMBER(FIND("03",Criterios!A8,1)),ISNUMBER(FIND("04",Criterios!A8,1))),(I21-W21+K21)/(F21-K21),(H21-W21+K21)/(F21-K21))</f>
        <v>-1.9456869009584665</v>
      </c>
      <c r="AR21" s="1036">
        <f>IF(ISNUMBER((Datos!P21-Datos!Q21)/(Datos!R21-Datos!P21+Datos!Q21)),(Datos!P21-Datos!Q21)/(Datos!R21-Datos!P21+Datos!Q21)," - ")</f>
        <v>3.0237305435059963E-2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474.66666666666669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2.7502066038093145</v>
      </c>
      <c r="F23" s="257">
        <f>IF(ISNUMBER(STDEV(F8:F20)),STDEV(F8:F20),"-")</f>
        <v>570.0001754385695</v>
      </c>
      <c r="G23" s="258">
        <f>IF(ISNUMBER(STDEV(G8:G20)),STDEV(G8:G20),"-")</f>
        <v>550.96448766382991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1107.6179846860559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153.55222471291555</v>
      </c>
      <c r="AJ23" s="257">
        <f t="shared" si="20"/>
        <v>0</v>
      </c>
      <c r="AK23" s="259">
        <f t="shared" si="20"/>
        <v>0</v>
      </c>
      <c r="AL23" s="254">
        <f t="shared" si="20"/>
        <v>0.14858412880836139</v>
      </c>
      <c r="AM23" s="255">
        <f t="shared" si="20"/>
        <v>4.9827599715821176</v>
      </c>
      <c r="AN23" s="255">
        <f t="shared" si="20"/>
        <v>5.5576015490559898E-2</v>
      </c>
      <c r="AO23" s="256">
        <f t="shared" si="20"/>
        <v>1.6684999233365589</v>
      </c>
      <c r="AP23" s="296" t="str">
        <f t="shared" si="20"/>
        <v>-</v>
      </c>
      <c r="AQ23" s="297">
        <f t="shared" si="20"/>
        <v>1.3210235393064795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pYKJT8JbQraz3/YLp6B0YvV6PT9wEKXQBB1TRxAOo5ZnfjBDMSi8ErY78k2wHcSy58owapWb8OmwhUvS+le/A==" saltValue="nYVr2S9OQ7lQuRfG7fsv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TORREJON DE ARDOZ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-0.375</v>
      </c>
      <c r="I9" s="360">
        <f>IF(ISNUMBER((Tasas!C9-Datos!BE9)/Datos!BE9),(Tasas!C9-Datos!BE9)/Datos!BE9," - ")</f>
        <v>1.2201851351794599</v>
      </c>
      <c r="J9" s="359">
        <f>IF(ISNUMBER((Tasas!D9-Datos!BF9)/Datos!BF9),(Tasas!D9-Datos!BF9)/Datos!BF9," - ")</f>
        <v>-0.74596334748193183</v>
      </c>
      <c r="K9" s="361">
        <f>IF(ISNUMBER((Tasas!E9-Datos!BG9)/Datos!BG9),(Tasas!E9-Datos!BG9)/Datos!BG9," - ")</f>
        <v>0.86611555829679332</v>
      </c>
      <c r="M9" t="e">
        <f>IF(Monitorios="SI",Datos!CE9,0)</f>
        <v>#REF!</v>
      </c>
      <c r="N9" t="e">
        <f>IF(Monitorios="SI",Datos!CF9,0)</f>
        <v>#REF!</v>
      </c>
      <c r="O9" t="e">
        <f>IF(Monitorios="SI",Datos!CG9,0)</f>
        <v>#REF!</v>
      </c>
      <c r="P9" t="e">
        <f>IF(Monitorios="SI",Datos!CH9,0)</f>
        <v>#REF!</v>
      </c>
      <c r="Q9">
        <f>IF(J_V="SI",0,Datos!AG9)</f>
        <v>161</v>
      </c>
      <c r="R9">
        <f>IF(J_V="SI",0,Datos!AH9)</f>
        <v>232</v>
      </c>
      <c r="S9">
        <f>IF(J_V="SI",0,Datos!AI9)</f>
        <v>237</v>
      </c>
      <c r="T9">
        <f>IF(J_V="SI",0,Datos!AJ9)</f>
        <v>156</v>
      </c>
    </row>
    <row r="10" spans="2:20" ht="14.25">
      <c r="B10" s="280" t="s">
        <v>273</v>
      </c>
      <c r="C10" s="7" t="str">
        <f>Datos!A10</f>
        <v>Jdos. Violencia contra la mujer</v>
      </c>
      <c r="D10" s="362">
        <f>IF(ISNUMBER((Datos!I10-Datos!S10)/Datos!S10),(Datos!I10-Datos!S10)/Datos!S10," - ")</f>
        <v>0.12612612612612611</v>
      </c>
      <c r="E10" s="358">
        <f>IF(ISNUMBER((Datos!J10-Datos!T10)/Datos!T10),(Datos!J10-Datos!T10)/Datos!T10," - ")</f>
        <v>-0.25925925925925924</v>
      </c>
      <c r="F10" s="358">
        <f>IF(ISNUMBER((Datos!K10-Datos!U10)/Datos!U10),(Datos!K10-Datos!U10)/Datos!U10," - ")</f>
        <v>-0.13157894736842105</v>
      </c>
      <c r="G10" s="359">
        <f>IF(ISNUMBER((Datos!L10-Datos!V10)/Datos!V10),(Datos!L10-Datos!V10)/Datos!V10," - ")</f>
        <v>3.937007874015748E-2</v>
      </c>
      <c r="H10" s="235">
        <f>IF(ISNUMBER((Datos!M10-Datos!W10)/Datos!W10),(Datos!M10-Datos!W10)/Datos!W10," - ")</f>
        <v>-0.54545454545454541</v>
      </c>
      <c r="I10" s="360">
        <f>IF(ISNUMBER((Tasas!C10-Datos!BE10)/Datos!BE10),(Tasas!C10-Datos!BE10)/Datos!BE10," - ")</f>
        <v>0.19685039370078741</v>
      </c>
      <c r="J10" s="359">
        <f>IF(ISNUMBER((Tasas!D10-Datos!BF10)/Datos!BF10),(Tasas!D10-Datos!BF10)/Datos!BF10," - ")</f>
        <v>-0.47658402203856748</v>
      </c>
      <c r="K10" s="361">
        <f>IF(ISNUMBER((Tasas!E10-Datos!BG10)/Datos!BG10),(Tasas!E10-Datos!BG10)/Datos!BG10," - ")</f>
        <v>0.15151515151515152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f>IF(ISNUMBER((Tasas!D12-Datos!BF12)/Datos!BF12),(Tasas!D12-Datos!BF12)/Datos!BF12," - ")</f>
        <v>-1</v>
      </c>
      <c r="K12" s="361">
        <f>IF(ISNUMBER((Tasas!E12-Datos!BG12)/Datos!BG12),(Tasas!E12-Datos!BG12)/Datos!BG12," - ")</f>
        <v>0</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-0.3784786641929499</v>
      </c>
      <c r="I14" s="367">
        <f>IF(ISNUMBER((Tasas!C14-Datos!BE14)/Datos!BE14),(Tasas!C14-Datos!BE14)/Datos!BE14," - ")</f>
        <v>1.1946491610783048</v>
      </c>
      <c r="J14" s="365">
        <f>IF(ISNUMBER((Tasas!D14-Datos!BF14)/Datos!BF14),(Tasas!D14-Datos!BF14)/Datos!BF14," - ")</f>
        <v>-0.74442473544924037</v>
      </c>
      <c r="K14" s="368">
        <f>IF(ISNUMBER((Tasas!E14-Datos!BG14)/Datos!BG14),(Tasas!E14-Datos!BG14)/Datos!BG14," - ")</f>
        <v>0.85110397978682184</v>
      </c>
      <c r="M14" t="e">
        <f>IF(Monitorios="SI",Datos!CE14,0)</f>
        <v>#REF!</v>
      </c>
      <c r="N14" t="e">
        <f>IF(Monitorios="SI",Datos!CF14,0)</f>
        <v>#REF!</v>
      </c>
      <c r="O14" t="e">
        <f>IF(Monitorios="SI",Datos!CG14,0)</f>
        <v>#REF!</v>
      </c>
      <c r="P14" t="e">
        <f>IF(Monitorios="SI",Datos!CH14,0)</f>
        <v>#REF!</v>
      </c>
      <c r="Q14">
        <f>IF(J_V="SI",0,Datos!AG14)</f>
        <v>161</v>
      </c>
      <c r="R14">
        <f>IF(J_V="SI",0,Datos!AH14)</f>
        <v>232</v>
      </c>
      <c r="S14">
        <f>IF(J_V="SI",0,Datos!AI14)</f>
        <v>237</v>
      </c>
      <c r="T14">
        <f>IF(J_V="SI",0,Datos!AJ14)</f>
        <v>156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6.7502410800385727E-3</v>
      </c>
      <c r="E16" s="358">
        <f>IF(ISNUMBER(
   IF(D_I="SI",(Datos!J16-Datos!T16)/Datos!T16,(Datos!J16+Datos!AD16-(Datos!T16+Datos!AL16))/(Datos!T16+Datos!AL16))
     ),IF(D_I="SI",(Datos!J16-Datos!T16)/Datos!T16,(Datos!J16+Datos!AD16-(Datos!T16+Datos!AL16))/(Datos!T16+Datos!AL16))," - ")</f>
        <v>3.8967611336032389E-2</v>
      </c>
      <c r="F16" s="358">
        <f>IF(ISNUMBER(
   IF(D_I="SI",(Datos!K16-Datos!U16)/Datos!U16,(Datos!K16+Datos!AE16-(Datos!U16+Datos!AM16))/(Datos!U16+Datos!AM16))
     ),IF(D_I="SI",(Datos!K16-Datos!U16)/Datos!U16,(Datos!K16+Datos!AE16-(Datos!U16+Datos!AM16))/(Datos!U16+Datos!AM16))," - ")</f>
        <v>-6.0606060606060608E-2</v>
      </c>
      <c r="G16" s="359">
        <f>IF(ISNUMBER(
   IF(D_I="SI",(Datos!L16-Datos!V16)/Datos!V16,(Datos!L16+Datos!AF16-(Datos!V16+Datos!AN16))/(Datos!V16+Datos!AN16))
     ),IF(D_I="SI",(Datos!L16-Datos!V16)/Datos!V16,(Datos!L16+Datos!AF16-(Datos!V16+Datos!AN16))/(Datos!V16+Datos!AN16))," - ")</f>
        <v>0.28246013667425968</v>
      </c>
      <c r="H16" s="235">
        <f>IF(ISNUMBER((Datos!M16-Datos!W16)/Datos!W16),(Datos!M16-Datos!W16)/Datos!W16," - ")</f>
        <v>-0.18571428571428572</v>
      </c>
      <c r="I16" s="360">
        <f>IF(ISNUMBER((Tasas!C16-Datos!BE16)/Datos!BE16),(Tasas!C16-Datos!BE16)/Datos!BE16," - ")</f>
        <v>0.3651995003306634</v>
      </c>
      <c r="J16" s="359">
        <f>IF(ISNUMBER((Tasas!D16-Datos!BF16)/Datos!BF16),(Tasas!D16-Datos!BF16)/Datos!BF16," - ")</f>
        <v>-0.13317972350230425</v>
      </c>
      <c r="K16" s="361">
        <f>IF(ISNUMBER((Tasas!E16-Datos!BG16)/Datos!BG16),(Tasas!E16-Datos!BG16)/Datos!BG16," - ")</f>
        <v>9.419397663886607E-2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v>
      </c>
      <c r="E17" s="358" t="str">
        <f>IF(ISNUMBER(
   IF(D_I="SI",(Datos!J17-Datos!T17)/Datos!T17,(Datos!J17+Datos!AD17-(Datos!T17+Datos!AL17))/(Datos!T17+Datos!AL17))
     ),IF(D_I="SI",(Datos!J17-Datos!T17)/Datos!T17,(Datos!J17+Datos!AD17-(Datos!T17+Datos!AL17))/(Datos!T17+Datos!AL17))," - ")</f>
        <v xml:space="preserve"> - </v>
      </c>
      <c r="F17" s="358">
        <f>IF(ISNUMBER(
   IF(D_I="SI",(Datos!K17-Datos!U17)/Datos!U17,(Datos!K17+Datos!AE17-(Datos!U17+Datos!AM17))/(Datos!U17+Datos!AM17))
     ),IF(D_I="SI",(Datos!K17-Datos!U17)/Datos!U17,(Datos!K17+Datos!AE17-(Datos!U17+Datos!AM17))/(Datos!U17+Datos!AM17))," - ")</f>
        <v>-1</v>
      </c>
      <c r="G17" s="359">
        <f>IF(ISNUMBER(
   IF(D_I="SI",(Datos!L17-Datos!V17)/Datos!V17,(Datos!L17+Datos!AF17-(Datos!V17+Datos!AN17))/(Datos!V17+Datos!AN17))
     ),IF(D_I="SI",(Datos!L17-Datos!V17)/Datos!V17,(Datos!L17+Datos!AF17-(Datos!V17+Datos!AN17))/(Datos!V17+Datos!AN17))," - ")</f>
        <v>-0.1111111111111111</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-4.633204633204633E-2</v>
      </c>
      <c r="E18" s="358">
        <f>IF(ISNUMBER(
   IF(D_I="SI",(Datos!J18-Datos!T18)/Datos!T18,(Datos!J18+Datos!AD18-(Datos!T18+Datos!AL18))/(Datos!T18+Datos!AL18))
     ),IF(D_I="SI",(Datos!J18-Datos!T18)/Datos!T18,(Datos!J18+Datos!AD18-(Datos!T18+Datos!AL18))/(Datos!T18+Datos!AL18))," - ")</f>
        <v>-0.25432098765432098</v>
      </c>
      <c r="F18" s="358">
        <f>IF(ISNUMBER(
   IF(D_I="SI",(Datos!K18-Datos!U18)/Datos!U18,(Datos!K18+Datos!AE18-(Datos!U18+Datos!AM18))/(Datos!U18+Datos!AM18))
     ),IF(D_I="SI",(Datos!K18-Datos!U18)/Datos!U18,(Datos!K18+Datos!AE18-(Datos!U18+Datos!AM18))/(Datos!U18+Datos!AM18))," - ")</f>
        <v>-0.16393442622950818</v>
      </c>
      <c r="G18" s="359">
        <f>IF(ISNUMBER(
   IF(D_I="SI",(Datos!L18-Datos!V18)/Datos!V18,(Datos!L18+Datos!AF18-(Datos!V18+Datos!AN18))/(Datos!V18+Datos!AN18))
     ),IF(D_I="SI",(Datos!L18-Datos!V18)/Datos!V18,(Datos!L18+Datos!AF18-(Datos!V18+Datos!AN18))/(Datos!V18+Datos!AN18))," - ")</f>
        <v>-0.19421487603305784</v>
      </c>
      <c r="H18" s="235">
        <f>IF(ISNUMBER((Datos!M18-Datos!W18)/Datos!W18),(Datos!M18-Datos!W18)/Datos!W18," - ")</f>
        <v>1.1000000000000001</v>
      </c>
      <c r="I18" s="360">
        <f>IF(ISNUMBER((Tasas!C18-Datos!BE18)/Datos!BE18),(Tasas!C18-Datos!BE18)/Datos!BE18," - ")</f>
        <v>-3.6217792902284912E-2</v>
      </c>
      <c r="J18" s="359">
        <f>IF(ISNUMBER((Tasas!D18-Datos!BF18)/Datos!BF18),(Tasas!D18-Datos!BF18)/Datos!BF18," - ")</f>
        <v>1.5117647058823529</v>
      </c>
      <c r="K18" s="361">
        <f>IF(ISNUMBER((Tasas!E18-Datos!BG18)/Datos!BG18),(Tasas!E18-Datos!BG18)/Datos!BG18," - ")</f>
        <v>-1.1073706591070076E-2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-5.3598774885145481E-3</v>
      </c>
      <c r="E20" s="364">
        <f>IF(ISNUMBER(
   IF(D_I="SI",(Datos!J20-Datos!T20)/Datos!T20,(Datos!J20+Datos!AD20-(Datos!T20+Datos!AL20))/(Datos!T20+Datos!AL20))
     ),IF(D_I="SI",(Datos!J20-Datos!T20)/Datos!T20,(Datos!J20+Datos!AD20-(Datos!T20+Datos!AL20))/(Datos!T20+Datos!AL20))," - ")</f>
        <v>-1.0919781604367913E-2</v>
      </c>
      <c r="F20" s="364">
        <f>IF(ISNUMBER(
   IF(D_I="SI",(Datos!K20-Datos!U20)/Datos!U20,(Datos!K20+Datos!AE20-(Datos!U20+Datos!AM20))/(Datos!U20+Datos!AM20))
     ),IF(D_I="SI",(Datos!K20-Datos!U20)/Datos!U20,(Datos!K20+Datos!AE20-(Datos!U20+Datos!AM20))/(Datos!U20+Datos!AM20))," - ")</f>
        <v>-7.7897160399079055E-2</v>
      </c>
      <c r="G20" s="365">
        <f>IF(ISNUMBER(
   IF(D_I="SI",(Datos!L20-Datos!V20)/Datos!V20,(Datos!L20+Datos!AF20-(Datos!V20+Datos!AN20))/(Datos!V20+Datos!AN20))
     ),IF(D_I="SI",(Datos!L20-Datos!V20)/Datos!V20,(Datos!L20+Datos!AF20-(Datos!V20+Datos!AN20))/(Datos!V20+Datos!AN20))," - ")</f>
        <v>0.17714791851195749</v>
      </c>
      <c r="H20" s="366">
        <f>IF(ISNUMBER((Datos!M20-Datos!W20)/Datos!W20),(Datos!M20-Datos!W20)/Datos!W20," - ")</f>
        <v>-0.14137931034482759</v>
      </c>
      <c r="I20" s="367">
        <f>IF(ISNUMBER((Tasas!C20-Datos!BE20)/Datos!BE20),(Tasas!C20-Datos!BE20)/Datos!BE20," - ")</f>
        <v>0.27659070979698758</v>
      </c>
      <c r="J20" s="365">
        <f>IF(ISNUMBER((Tasas!D20-Datos!BF20)/Datos!BF20),(Tasas!D20-Datos!BF20)/Datos!BF20," - ")</f>
        <v>-6.8844978259933631E-2</v>
      </c>
      <c r="K20" s="368">
        <f>IF(ISNUMBER((Tasas!E20-Datos!BG20)/Datos!BG20),(Tasas!E20-Datos!BG20)/Datos!BG20," - ")</f>
        <v>7.4771263341490299E-2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0.38988043666608907</v>
      </c>
      <c r="E21" s="373">
        <f>IF(ISNUMBER(
   IF(J_V="SI",(Datos!J21-Datos!T21)/Datos!T21,(Datos!J21+Datos!Z21-(Datos!T21+Datos!AH21))/(Datos!T21+Datos!AH21))
     ),IF(J_V="SI",(Datos!J21-Datos!T21)/Datos!T21,(Datos!J21+Datos!Z21-(Datos!T21+Datos!AH21))/(Datos!T21+Datos!AH21))," - ")</f>
        <v>5.6742954416493289E-4</v>
      </c>
      <c r="F21" s="373">
        <f>IF(ISNUMBER(
   IF(J_V="SI",(Datos!K21-Datos!U21)/Datos!U21,(Datos!K21+Datos!AA21-(Datos!U21+Datos!AI21))/(Datos!U21+Datos!AI21))
     ),IF(J_V="SI",(Datos!K21-Datos!U21)/Datos!U21,(Datos!K21+Datos!AA21-(Datos!U21+Datos!AI21))/(Datos!U21+Datos!AI21))," - ")</f>
        <v>-0.19703425941707858</v>
      </c>
      <c r="G21" s="374">
        <f>IF(ISNUMBER(
   IF(J_V="SI",(Datos!L21-Datos!V21)/Datos!V21,(Datos!L21+Datos!AB21-(Datos!V21+Datos!AJ21))/(Datos!V21+Datos!AJ21))
     ),IF(J_V="SI",(Datos!L21-Datos!V21)/Datos!V21,(Datos!L21+Datos!AB21-(Datos!V21+Datos!AJ21))/(Datos!V21+Datos!AJ21))," - ")</f>
        <v>0.48091342876618948</v>
      </c>
      <c r="H21" s="375">
        <f>IF(ISNUMBER((Datos!M21-Datos!W21)/Datos!W21),(Datos!M21-Datos!W21)/Datos!W21," - ")</f>
        <v>-0.29553679131483718</v>
      </c>
      <c r="I21" s="372">
        <f>IF(ISNUMBER((Tasas!C21-Datos!BE21)/Datos!BE21),(Tasas!C21-Datos!BE21)/Datos!BE21," - ")</f>
        <v>0.84430462461711597</v>
      </c>
      <c r="J21" s="373">
        <f>IF(ISNUMBER((Tasas!D21-Datos!BF21)/Datos!BF21),(Tasas!D21-Datos!BF21)/Datos!BF21," - ")</f>
        <v>-0.66045576229501213</v>
      </c>
      <c r="K21" s="374">
        <f>IF(ISNUMBER((Tasas!E21-Datos!BG21)/Datos!BG21),(Tasas!E21-Datos!BG21)/Datos!BG21," - ")</f>
        <v>0.49912235975118785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0.11758542102606846</v>
      </c>
      <c r="E23" s="283">
        <f t="shared" si="1"/>
        <v>0.15768831345730072</v>
      </c>
      <c r="F23" s="283">
        <f t="shared" si="1"/>
        <v>0.40082660183513541</v>
      </c>
      <c r="G23" s="284">
        <f t="shared" si="1"/>
        <v>0.1970279061690102</v>
      </c>
      <c r="H23" s="290">
        <f t="shared" si="1"/>
        <v>0.59995871507928522</v>
      </c>
      <c r="I23" s="282">
        <f t="shared" si="1"/>
        <v>0.53681456792845639</v>
      </c>
      <c r="J23" s="283">
        <f t="shared" si="1"/>
        <v>0.84195460744971584</v>
      </c>
      <c r="K23" s="284">
        <f t="shared" si="1"/>
        <v>0.39271109493699174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f8nikNBHoUNEj5B4Qy2mVFKIDMc+HSA69es+Xeui3Mfb0Tpmkt6Ch1El/6aUS3yHs/k2s6aYnfS49J5PXxlVw==" saltValue="m7ZUYlFjJDVdx9NRJB3YP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